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ote Results\2018\General\"/>
    </mc:Choice>
  </mc:AlternateContent>
  <xr:revisionPtr revIDLastSave="0" documentId="8_{CB19E0E5-F28E-41D6-AA84-97217816F139}" xr6:coauthVersionLast="31" xr6:coauthVersionMax="31" xr10:uidLastSave="{00000000-0000-0000-0000-000000000000}"/>
  <bookViews>
    <workbookView xWindow="360" yWindow="90" windowWidth="11340" windowHeight="6795" xr2:uid="{00000000-000D-0000-FFFF-FFFF00000000}"/>
  </bookViews>
  <sheets>
    <sheet name="Gov by 1st CD" sheetId="9" r:id="rId1"/>
    <sheet name="Gov by 2nd CD" sheetId="170" r:id="rId2"/>
    <sheet name="Gov by 3rd CD" sheetId="171" r:id="rId3"/>
    <sheet name="Gov by 4th CD" sheetId="172" r:id="rId4"/>
    <sheet name="Gov by 5th CD" sheetId="173" r:id="rId5"/>
    <sheet name="Gov by 6th CD" sheetId="174" r:id="rId6"/>
    <sheet name="Gov by 7th CD" sheetId="175" r:id="rId7"/>
    <sheet name="Gov by 8th CD" sheetId="176" r:id="rId8"/>
    <sheet name="Gov by 9th CD" sheetId="177" r:id="rId9"/>
    <sheet name="Gov by 10th CD" sheetId="178" r:id="rId10"/>
    <sheet name="Gov by 11th CD" sheetId="179" r:id="rId11"/>
    <sheet name="Gov by 12th CD" sheetId="180" r:id="rId12"/>
    <sheet name="Gov by 13th CD" sheetId="181" r:id="rId13"/>
    <sheet name="Gov by 14th CD" sheetId="182" r:id="rId14"/>
    <sheet name="Gov by 15th CD" sheetId="183" r:id="rId15"/>
    <sheet name="Gov by 16th CD" sheetId="184" r:id="rId16"/>
    <sheet name="Gov by 17th CD" sheetId="185" r:id="rId17"/>
    <sheet name="Gov by 18th CD" sheetId="186" r:id="rId18"/>
    <sheet name="Gov by 19th CD" sheetId="187" r:id="rId19"/>
    <sheet name="Gov by 20th CD" sheetId="188" r:id="rId20"/>
    <sheet name="Gov by 21st CD" sheetId="189" r:id="rId21"/>
    <sheet name="Gov by 22nd CD" sheetId="190" r:id="rId22"/>
    <sheet name="Gov by 23rd CD" sheetId="191" r:id="rId23"/>
    <sheet name="Gov by 24th CD" sheetId="192" r:id="rId24"/>
    <sheet name="Gov by 25th CD" sheetId="193" r:id="rId25"/>
    <sheet name="Gov by 26th CD" sheetId="194" r:id="rId26"/>
    <sheet name="Gov by 27th CD" sheetId="195" r:id="rId27"/>
  </sheets>
  <calcPr calcId="179017"/>
</workbook>
</file>

<file path=xl/calcChain.xml><?xml version="1.0" encoding="utf-8"?>
<calcChain xmlns="http://schemas.openxmlformats.org/spreadsheetml/2006/main">
  <c r="J3" i="195" l="1"/>
  <c r="J4" i="195"/>
  <c r="J5" i="195"/>
  <c r="J6" i="195"/>
  <c r="K6" i="195" s="1"/>
  <c r="J7" i="195"/>
  <c r="J8" i="195"/>
  <c r="J9" i="195"/>
  <c r="J10" i="195"/>
  <c r="J11" i="195"/>
  <c r="K11" i="195" s="1"/>
  <c r="J12" i="195"/>
  <c r="K12" i="195" s="1"/>
  <c r="J13" i="195"/>
  <c r="J14" i="195"/>
  <c r="J15" i="195"/>
  <c r="D3" i="194"/>
  <c r="D4" i="194"/>
  <c r="D5" i="194"/>
  <c r="D6" i="194"/>
  <c r="E6" i="194" s="1"/>
  <c r="D7" i="194"/>
  <c r="D8" i="194"/>
  <c r="D9" i="194"/>
  <c r="D10" i="194"/>
  <c r="D11" i="194"/>
  <c r="E11" i="194" s="1"/>
  <c r="D12" i="194"/>
  <c r="E12" i="194" s="1"/>
  <c r="D13" i="194"/>
  <c r="D14" i="194"/>
  <c r="D15" i="194"/>
  <c r="C3" i="193"/>
  <c r="C4" i="193"/>
  <c r="C5" i="193"/>
  <c r="C6" i="193"/>
  <c r="D6" i="193" s="1"/>
  <c r="C7" i="193"/>
  <c r="C8" i="193"/>
  <c r="C9" i="193"/>
  <c r="C10" i="193"/>
  <c r="C11" i="193"/>
  <c r="D11" i="193" s="1"/>
  <c r="C12" i="193"/>
  <c r="D12" i="193" s="1"/>
  <c r="C13" i="193"/>
  <c r="C14" i="193"/>
  <c r="C15" i="193"/>
  <c r="F3" i="192"/>
  <c r="F4" i="192"/>
  <c r="F5" i="192"/>
  <c r="F6" i="192"/>
  <c r="G6" i="192" s="1"/>
  <c r="F7" i="192"/>
  <c r="F8" i="192"/>
  <c r="F9" i="192"/>
  <c r="F10" i="192"/>
  <c r="F11" i="192"/>
  <c r="G11" i="192" s="1"/>
  <c r="F12" i="192"/>
  <c r="G12" i="192" s="1"/>
  <c r="F13" i="192"/>
  <c r="F14" i="192"/>
  <c r="F15" i="192"/>
  <c r="M3" i="191"/>
  <c r="M4" i="191"/>
  <c r="M5" i="191"/>
  <c r="M6" i="191"/>
  <c r="N6" i="191" s="1"/>
  <c r="M7" i="191"/>
  <c r="M8" i="191"/>
  <c r="M9" i="191"/>
  <c r="M10" i="191"/>
  <c r="M11" i="191"/>
  <c r="N11" i="191" s="1"/>
  <c r="M12" i="191"/>
  <c r="N12" i="191" s="1"/>
  <c r="M13" i="191"/>
  <c r="M14" i="191"/>
  <c r="M15" i="191"/>
  <c r="J3" i="190"/>
  <c r="J4" i="190"/>
  <c r="J5" i="190"/>
  <c r="J6" i="190"/>
  <c r="K6" i="190" s="1"/>
  <c r="J7" i="190"/>
  <c r="J8" i="190"/>
  <c r="J9" i="190"/>
  <c r="J10" i="190"/>
  <c r="J11" i="190"/>
  <c r="K11" i="190" s="1"/>
  <c r="J12" i="190"/>
  <c r="K12" i="190" s="1"/>
  <c r="J13" i="190"/>
  <c r="J14" i="190"/>
  <c r="J15" i="190"/>
  <c r="N3" i="189"/>
  <c r="N4" i="189"/>
  <c r="N5" i="189"/>
  <c r="N6" i="189"/>
  <c r="O6" i="189" s="1"/>
  <c r="N7" i="189"/>
  <c r="N8" i="189"/>
  <c r="N9" i="189"/>
  <c r="N10" i="189"/>
  <c r="N11" i="189"/>
  <c r="O11" i="189" s="1"/>
  <c r="N12" i="189"/>
  <c r="O12" i="189" s="1"/>
  <c r="N13" i="189"/>
  <c r="N14" i="189"/>
  <c r="N15" i="189"/>
  <c r="G3" i="188"/>
  <c r="G4" i="188"/>
  <c r="G5" i="188"/>
  <c r="G6" i="188"/>
  <c r="H6" i="188" s="1"/>
  <c r="G7" i="188"/>
  <c r="G8" i="188"/>
  <c r="G9" i="188"/>
  <c r="G10" i="188"/>
  <c r="G11" i="188"/>
  <c r="H11" i="188" s="1"/>
  <c r="G12" i="188"/>
  <c r="H12" i="188" s="1"/>
  <c r="G13" i="188"/>
  <c r="G14" i="188"/>
  <c r="G15" i="188"/>
  <c r="M3" i="187"/>
  <c r="M4" i="187"/>
  <c r="M5" i="187"/>
  <c r="M6" i="187"/>
  <c r="N6" i="187" s="1"/>
  <c r="M7" i="187"/>
  <c r="M8" i="187"/>
  <c r="M9" i="187"/>
  <c r="M10" i="187"/>
  <c r="M11" i="187"/>
  <c r="N11" i="187" s="1"/>
  <c r="M12" i="187"/>
  <c r="N12" i="187" s="1"/>
  <c r="M13" i="187"/>
  <c r="M14" i="187"/>
  <c r="M15" i="187"/>
  <c r="F3" i="186"/>
  <c r="F4" i="186"/>
  <c r="F5" i="186"/>
  <c r="F6" i="186"/>
  <c r="G6" i="186" s="1"/>
  <c r="F7" i="186"/>
  <c r="F8" i="186"/>
  <c r="F9" i="186"/>
  <c r="F10" i="186"/>
  <c r="F11" i="186"/>
  <c r="G11" i="186" s="1"/>
  <c r="F12" i="186"/>
  <c r="G12" i="186" s="1"/>
  <c r="F13" i="186"/>
  <c r="F14" i="186"/>
  <c r="F15" i="186"/>
  <c r="D3" i="185"/>
  <c r="D4" i="185"/>
  <c r="D5" i="185"/>
  <c r="D6" i="185"/>
  <c r="E6" i="185" s="1"/>
  <c r="D7" i="185"/>
  <c r="D8" i="185"/>
  <c r="D9" i="185"/>
  <c r="D10" i="185"/>
  <c r="D11" i="185"/>
  <c r="E11" i="185" s="1"/>
  <c r="D12" i="185"/>
  <c r="E12" i="185" s="1"/>
  <c r="D13" i="185"/>
  <c r="D14" i="185"/>
  <c r="D15" i="185"/>
  <c r="K3" i="190" l="1"/>
  <c r="K3" i="195"/>
  <c r="G4" i="186"/>
  <c r="H3" i="188"/>
  <c r="E4" i="194"/>
  <c r="K4" i="190"/>
  <c r="N4" i="191"/>
  <c r="E4" i="185"/>
  <c r="N3" i="191"/>
  <c r="D3" i="193"/>
  <c r="E3" i="185"/>
  <c r="G4" i="192"/>
  <c r="D4" i="193"/>
  <c r="K4" i="195"/>
  <c r="G3" i="186"/>
  <c r="E3" i="194"/>
  <c r="H4" i="188"/>
  <c r="G3" i="192"/>
  <c r="O3" i="189"/>
  <c r="O4" i="189"/>
  <c r="N3" i="187"/>
  <c r="N4" i="187"/>
  <c r="D3" i="184"/>
  <c r="D4" i="184"/>
  <c r="D5" i="184"/>
  <c r="D6" i="184"/>
  <c r="E6" i="184" s="1"/>
  <c r="D7" i="184"/>
  <c r="D8" i="184"/>
  <c r="D9" i="184"/>
  <c r="D10" i="184"/>
  <c r="D11" i="184"/>
  <c r="E11" i="184" s="1"/>
  <c r="D12" i="184"/>
  <c r="E12" i="184" s="1"/>
  <c r="D13" i="184"/>
  <c r="D14" i="184"/>
  <c r="D15" i="184"/>
  <c r="C3" i="183"/>
  <c r="C4" i="183"/>
  <c r="C5" i="183"/>
  <c r="C6" i="183"/>
  <c r="D6" i="183" s="1"/>
  <c r="C7" i="183"/>
  <c r="C8" i="183"/>
  <c r="C9" i="183"/>
  <c r="C10" i="183"/>
  <c r="C11" i="183"/>
  <c r="D11" i="183" s="1"/>
  <c r="C12" i="183"/>
  <c r="D12" i="183" s="1"/>
  <c r="C13" i="183"/>
  <c r="C14" i="183"/>
  <c r="C15" i="183"/>
  <c r="D3" i="182"/>
  <c r="D4" i="182"/>
  <c r="D5" i="182"/>
  <c r="D6" i="182"/>
  <c r="E6" i="182" s="1"/>
  <c r="D7" i="182"/>
  <c r="D8" i="182"/>
  <c r="D9" i="182"/>
  <c r="D10" i="182"/>
  <c r="D11" i="182"/>
  <c r="E11" i="182" s="1"/>
  <c r="D12" i="182"/>
  <c r="E12" i="182" s="1"/>
  <c r="D13" i="182"/>
  <c r="D14" i="182"/>
  <c r="D15" i="182"/>
  <c r="D3" i="181"/>
  <c r="D4" i="181"/>
  <c r="D5" i="181"/>
  <c r="D6" i="181"/>
  <c r="E6" i="181" s="1"/>
  <c r="D7" i="181"/>
  <c r="D8" i="181"/>
  <c r="D9" i="181"/>
  <c r="D10" i="181"/>
  <c r="D11" i="181"/>
  <c r="E11" i="181" s="1"/>
  <c r="D12" i="181"/>
  <c r="E12" i="181" s="1"/>
  <c r="D13" i="181"/>
  <c r="D14" i="181"/>
  <c r="D15" i="181"/>
  <c r="E3" i="180"/>
  <c r="E4" i="180"/>
  <c r="E5" i="180"/>
  <c r="E6" i="180"/>
  <c r="F6" i="180" s="1"/>
  <c r="E7" i="180"/>
  <c r="E8" i="180"/>
  <c r="E9" i="180"/>
  <c r="E10" i="180"/>
  <c r="E11" i="180"/>
  <c r="F11" i="180" s="1"/>
  <c r="E12" i="180"/>
  <c r="F12" i="180" s="1"/>
  <c r="E13" i="180"/>
  <c r="E14" i="180"/>
  <c r="E15" i="180"/>
  <c r="D3" i="179"/>
  <c r="D4" i="179"/>
  <c r="D5" i="179"/>
  <c r="D6" i="179"/>
  <c r="E6" i="179" s="1"/>
  <c r="D7" i="179"/>
  <c r="D8" i="179"/>
  <c r="D9" i="179"/>
  <c r="D10" i="179"/>
  <c r="D11" i="179"/>
  <c r="E11" i="179" s="1"/>
  <c r="D12" i="179"/>
  <c r="E12" i="179" s="1"/>
  <c r="D13" i="179"/>
  <c r="D14" i="179"/>
  <c r="D15" i="179"/>
  <c r="D3" i="178"/>
  <c r="D4" i="178"/>
  <c r="D5" i="178"/>
  <c r="D6" i="178"/>
  <c r="E6" i="178" s="1"/>
  <c r="D7" i="178"/>
  <c r="D8" i="178"/>
  <c r="D9" i="178"/>
  <c r="D10" i="178"/>
  <c r="D11" i="178"/>
  <c r="E11" i="178" s="1"/>
  <c r="D12" i="178"/>
  <c r="E12" i="178" s="1"/>
  <c r="D13" i="178"/>
  <c r="D14" i="178"/>
  <c r="D15" i="178"/>
  <c r="C3" i="177"/>
  <c r="C4" i="177"/>
  <c r="C5" i="177"/>
  <c r="C6" i="177"/>
  <c r="D6" i="177" s="1"/>
  <c r="C7" i="177"/>
  <c r="C8" i="177"/>
  <c r="C9" i="177"/>
  <c r="C10" i="177"/>
  <c r="C11" i="177"/>
  <c r="D11" i="177" s="1"/>
  <c r="C12" i="177"/>
  <c r="D12" i="177" s="1"/>
  <c r="C13" i="177"/>
  <c r="C14" i="177"/>
  <c r="C15" i="177"/>
  <c r="D3" i="176"/>
  <c r="D4" i="176"/>
  <c r="D5" i="176"/>
  <c r="D6" i="176"/>
  <c r="E6" i="176" s="1"/>
  <c r="D7" i="176"/>
  <c r="D8" i="176"/>
  <c r="D9" i="176"/>
  <c r="D10" i="176"/>
  <c r="D11" i="176"/>
  <c r="E11" i="176" s="1"/>
  <c r="D12" i="176"/>
  <c r="E12" i="176" s="1"/>
  <c r="D13" i="176"/>
  <c r="D14" i="176"/>
  <c r="D15" i="176"/>
  <c r="E3" i="175"/>
  <c r="E4" i="175"/>
  <c r="E5" i="175"/>
  <c r="E6" i="175"/>
  <c r="F6" i="175" s="1"/>
  <c r="E7" i="175"/>
  <c r="E8" i="175"/>
  <c r="E9" i="175"/>
  <c r="E10" i="175"/>
  <c r="E11" i="175"/>
  <c r="F11" i="175" s="1"/>
  <c r="E12" i="175"/>
  <c r="F12" i="175" s="1"/>
  <c r="E13" i="175"/>
  <c r="E14" i="175"/>
  <c r="E15" i="175"/>
  <c r="C3" i="174"/>
  <c r="C4" i="174"/>
  <c r="C5" i="174"/>
  <c r="C6" i="174"/>
  <c r="D6" i="174" s="1"/>
  <c r="C7" i="174"/>
  <c r="C8" i="174"/>
  <c r="C9" i="174"/>
  <c r="C10" i="174"/>
  <c r="C11" i="174"/>
  <c r="D11" i="174" s="1"/>
  <c r="C12" i="174"/>
  <c r="D12" i="174" s="1"/>
  <c r="C13" i="174"/>
  <c r="C14" i="174"/>
  <c r="C15" i="174"/>
  <c r="D3" i="173"/>
  <c r="D4" i="173"/>
  <c r="D5" i="173"/>
  <c r="D6" i="173"/>
  <c r="E6" i="173" s="1"/>
  <c r="D7" i="173"/>
  <c r="D8" i="173"/>
  <c r="D9" i="173"/>
  <c r="D10" i="173"/>
  <c r="D11" i="173"/>
  <c r="E11" i="173" s="1"/>
  <c r="D12" i="173"/>
  <c r="E12" i="173" s="1"/>
  <c r="D13" i="173"/>
  <c r="D14" i="173"/>
  <c r="D15" i="173"/>
  <c r="C3" i="172"/>
  <c r="C4" i="172"/>
  <c r="C5" i="172"/>
  <c r="C6" i="172"/>
  <c r="D6" i="172" s="1"/>
  <c r="C7" i="172"/>
  <c r="C8" i="172"/>
  <c r="C9" i="172"/>
  <c r="C10" i="172"/>
  <c r="C11" i="172"/>
  <c r="D11" i="172" s="1"/>
  <c r="C12" i="172"/>
  <c r="D12" i="172" s="1"/>
  <c r="C13" i="172"/>
  <c r="C14" i="172"/>
  <c r="C15" i="172"/>
  <c r="E3" i="171"/>
  <c r="E4" i="171"/>
  <c r="E5" i="171"/>
  <c r="E6" i="171"/>
  <c r="F6" i="171" s="1"/>
  <c r="E7" i="171"/>
  <c r="E8" i="171"/>
  <c r="E9" i="171"/>
  <c r="E10" i="171"/>
  <c r="E11" i="171"/>
  <c r="F11" i="171" s="1"/>
  <c r="E12" i="171"/>
  <c r="F12" i="171" s="1"/>
  <c r="E13" i="171"/>
  <c r="E14" i="171"/>
  <c r="E15" i="171"/>
  <c r="D3" i="170"/>
  <c r="D4" i="170"/>
  <c r="D5" i="170"/>
  <c r="D6" i="170"/>
  <c r="E6" i="170" s="1"/>
  <c r="D7" i="170"/>
  <c r="D8" i="170"/>
  <c r="D9" i="170"/>
  <c r="D10" i="170"/>
  <c r="D11" i="170"/>
  <c r="E11" i="170" s="1"/>
  <c r="D12" i="170"/>
  <c r="E12" i="170" s="1"/>
  <c r="D13" i="170"/>
  <c r="D14" i="170"/>
  <c r="D15" i="170"/>
  <c r="C3" i="9"/>
  <c r="C4" i="9"/>
  <c r="C5" i="9"/>
  <c r="C6" i="9"/>
  <c r="D6" i="9" s="1"/>
  <c r="C7" i="9"/>
  <c r="C8" i="9"/>
  <c r="C9" i="9"/>
  <c r="C10" i="9"/>
  <c r="C11" i="9"/>
  <c r="D11" i="9" s="1"/>
  <c r="C12" i="9"/>
  <c r="D12" i="9" s="1"/>
  <c r="C13" i="9"/>
  <c r="C14" i="9"/>
  <c r="C15" i="9"/>
  <c r="E3" i="173" l="1"/>
  <c r="F3" i="175"/>
  <c r="E4" i="184"/>
  <c r="F3" i="180"/>
  <c r="E3" i="179"/>
  <c r="E3" i="176"/>
  <c r="E4" i="178"/>
  <c r="E3" i="170"/>
  <c r="E4" i="176"/>
  <c r="F3" i="171"/>
  <c r="D4" i="174"/>
  <c r="E3" i="184"/>
  <c r="B16" i="193"/>
  <c r="F4" i="171"/>
  <c r="D3" i="177"/>
  <c r="F4" i="180"/>
  <c r="E3" i="181"/>
  <c r="D3" i="183"/>
  <c r="E4" i="170"/>
  <c r="D3" i="172"/>
  <c r="E4" i="182"/>
  <c r="D3" i="174"/>
  <c r="B16" i="174" s="1"/>
  <c r="E4" i="181"/>
  <c r="D4" i="183"/>
  <c r="D4" i="9"/>
  <c r="D4" i="172"/>
  <c r="E3" i="178"/>
  <c r="D3" i="9"/>
  <c r="E4" i="173"/>
  <c r="F4" i="175"/>
  <c r="D4" i="177"/>
  <c r="E4" i="179"/>
  <c r="E3" i="182"/>
  <c r="B16" i="177" l="1"/>
  <c r="B16" i="172"/>
  <c r="B16" i="183"/>
  <c r="B16" i="9"/>
  <c r="I16" i="195" l="1"/>
  <c r="B16" i="195"/>
  <c r="C16" i="194"/>
  <c r="B16" i="194"/>
  <c r="E16" i="192"/>
  <c r="B16" i="192"/>
  <c r="L16" i="191"/>
  <c r="B16" i="191"/>
  <c r="I16" i="190"/>
  <c r="B16" i="190"/>
  <c r="M16" i="189"/>
  <c r="B16" i="189"/>
  <c r="F16" i="188"/>
  <c r="B16" i="188"/>
  <c r="L16" i="187"/>
  <c r="B16" i="187"/>
  <c r="E16" i="186"/>
  <c r="B16" i="186"/>
  <c r="C16" i="185"/>
  <c r="B16" i="185"/>
  <c r="C16" i="184" l="1"/>
  <c r="B16" i="184"/>
  <c r="C16" i="182"/>
  <c r="B16" i="182"/>
  <c r="C16" i="181"/>
  <c r="B16" i="181"/>
  <c r="D16" i="180"/>
  <c r="B16" i="180"/>
  <c r="C16" i="179"/>
  <c r="B16" i="179"/>
  <c r="C16" i="178"/>
  <c r="B16" i="178"/>
  <c r="C16" i="176"/>
  <c r="B16" i="176"/>
  <c r="D16" i="175"/>
  <c r="B16" i="175"/>
  <c r="C16" i="173"/>
  <c r="B16" i="173"/>
  <c r="D16" i="171"/>
  <c r="B16" i="171"/>
  <c r="C16" i="170"/>
  <c r="B16" i="170"/>
</calcChain>
</file>

<file path=xl/sharedStrings.xml><?xml version="1.0" encoding="utf-8"?>
<sst xmlns="http://schemas.openxmlformats.org/spreadsheetml/2006/main" count="584" uniqueCount="106">
  <si>
    <t>Blank</t>
  </si>
  <si>
    <t>Void</t>
  </si>
  <si>
    <t>Scattering</t>
  </si>
  <si>
    <t>Andrew M. Cuomo (DEM)</t>
  </si>
  <si>
    <t>Total Votes by County</t>
  </si>
  <si>
    <t>Total Votes by Candidate</t>
  </si>
  <si>
    <t>Howie Hawkins (GRE)</t>
  </si>
  <si>
    <t>Andrew M. Cuomo (WOR)</t>
  </si>
  <si>
    <t>Andrew M. Cuomo (IND)</t>
  </si>
  <si>
    <t>Andrew M. Cuomo (WEP)</t>
  </si>
  <si>
    <t>Larry Sharpe (LBT)</t>
  </si>
  <si>
    <t>Stephanie A. Miner (SAM)</t>
  </si>
  <si>
    <t>Candidate Name (Party)</t>
  </si>
  <si>
    <t>Part of Suffolk County Vote Results</t>
  </si>
  <si>
    <t>Marc Mollinaro (REP)</t>
  </si>
  <si>
    <t>Marc Mollinaro (CON)</t>
  </si>
  <si>
    <t>Marc Mollinaro (REF)</t>
  </si>
  <si>
    <t>Part of Nassau County Vote Results</t>
  </si>
  <si>
    <t>Part of Queens County Vote Results</t>
  </si>
  <si>
    <t>Part of Kings County Vote Results</t>
  </si>
  <si>
    <t>Part of New York County Vote Results</t>
  </si>
  <si>
    <t>Part of Bronx County Vote Results</t>
  </si>
  <si>
    <t>Part of Westchester County Vote Results</t>
  </si>
  <si>
    <t>Part of Herkimer County Vote Results</t>
  </si>
  <si>
    <t>Greene County Vote Results</t>
  </si>
  <si>
    <t>Schoharie County Vote Results</t>
  </si>
  <si>
    <t>Part of Dutchess County Vote Results</t>
  </si>
  <si>
    <t>Part of Rensselaer County Vote Results</t>
  </si>
  <si>
    <t>Part of Saratoga County Vote Results</t>
  </si>
  <si>
    <t>Essex County Vote Results</t>
  </si>
  <si>
    <t>Warren County Vote Results</t>
  </si>
  <si>
    <t>Clinton County Vote Results</t>
  </si>
  <si>
    <t>Franklin County Vote Results</t>
  </si>
  <si>
    <t>Lewis County Vote Results</t>
  </si>
  <si>
    <t>Fulton County Vote Results</t>
  </si>
  <si>
    <t>Hamilton County Vote Results</t>
  </si>
  <si>
    <t>Part of Oswego County Vote Results</t>
  </si>
  <si>
    <t>Madison County Vote Results</t>
  </si>
  <si>
    <t>Part of Broome County Vote Results</t>
  </si>
  <si>
    <t>Tompkins County Vote Results</t>
  </si>
  <si>
    <t>Wayne County Vote Results</t>
  </si>
  <si>
    <t>Schuyler County Vote Results</t>
  </si>
  <si>
    <t>Yates County Vote Results</t>
  </si>
  <si>
    <t>Livingston County Vote Results</t>
  </si>
  <si>
    <t>Part of Monroe County Vote Results</t>
  </si>
  <si>
    <t>Genesee County Vote Results</t>
  </si>
  <si>
    <t>Part of Erie County Vote Results</t>
  </si>
  <si>
    <t>Part of Niagara County Vote Results</t>
  </si>
  <si>
    <t>Wyoming County Vote Results</t>
  </si>
  <si>
    <t>Allegany County Vote Results</t>
  </si>
  <si>
    <t>Cattaraugus County Vote Results</t>
  </si>
  <si>
    <t>Chautauqua County Vote Results</t>
  </si>
  <si>
    <t>Governor Vote by 1st Congressional District - General Election - November 6, 2018</t>
  </si>
  <si>
    <t>Governor Vote by 2nd Congressional District - General Election - November 6, 2018</t>
  </si>
  <si>
    <t>Governor Vote by 3rd Congressional District - General Election - November 6, 2018</t>
  </si>
  <si>
    <t>Governor Vote by 4th Congressional District - General Election - November 6, 2018</t>
  </si>
  <si>
    <t>Governor Vote by 5th Congressional District - General Election - November 6, 2018</t>
  </si>
  <si>
    <t>Governor Vote by 6th Congressional District - General Election - November 6, 2018</t>
  </si>
  <si>
    <t>Governor Vote by 7th Congressional District - General Election - November 6, 2018</t>
  </si>
  <si>
    <t>Governor Vote by 8th Congressional District - General Election - November 6, 2018</t>
  </si>
  <si>
    <t>Governor Vote by 9th Congressional District - General Election - November 6, 2018</t>
  </si>
  <si>
    <t>Governor Vote by 10th Congressional District - General Election - November 6, 2018</t>
  </si>
  <si>
    <t>Governor Vote by 11th Congressional District - General Election - November 6, 2018</t>
  </si>
  <si>
    <t>Richmond County Vote Results</t>
  </si>
  <si>
    <t>Governor Vote by 12th Congressional District - General Election - November 6, 2018</t>
  </si>
  <si>
    <t>Governor Vote by 13th Congressional District - General Election - November 6, 2018</t>
  </si>
  <si>
    <t>Governor Vote by 14th Congressional District - General Election - November 6, 2018</t>
  </si>
  <si>
    <t>Governor Vote by 15th Congressional District - General Election - November 6, 2018</t>
  </si>
  <si>
    <t>Governor Vote by 16th Congressional District - General Election - November 6, 2018</t>
  </si>
  <si>
    <t>Governor Vote by 17th Congressional District - General Election - November 6, 2018</t>
  </si>
  <si>
    <t>Rockland County Vote Results</t>
  </si>
  <si>
    <t>Governor Vote by 18th Congressional District - General Election - November 6, 2018</t>
  </si>
  <si>
    <t>Orange County Vote Results</t>
  </si>
  <si>
    <t>Putnam County Vote Results</t>
  </si>
  <si>
    <t>Governor Vote by 19th Congressional District - General Election - November 6, 2018</t>
  </si>
  <si>
    <t>Columbia County Vote Results</t>
  </si>
  <si>
    <t>Delaware County Vote Results</t>
  </si>
  <si>
    <t>Otsego County Vote Results</t>
  </si>
  <si>
    <t>Sullivan County Vote Results</t>
  </si>
  <si>
    <t>Ulster County Vote Results</t>
  </si>
  <si>
    <t>Part of Montgomery County Vote Results</t>
  </si>
  <si>
    <t>Governor Vote by 20th Congressional District - General Election - November 6, 2018</t>
  </si>
  <si>
    <t>Albany County Vote Results</t>
  </si>
  <si>
    <t>Schenectady County Vote Results</t>
  </si>
  <si>
    <t>Governor Vote by 21st Congressional District - General Election - November 6, 2018</t>
  </si>
  <si>
    <t>Jefferson County Vote Results</t>
  </si>
  <si>
    <t>St. Lawrence County Vote Results</t>
  </si>
  <si>
    <t>Washington County Vote Results</t>
  </si>
  <si>
    <t>Governor Vote by 22nd Congressional District - General Election - November 6, 2018</t>
  </si>
  <si>
    <t>Chenago County Vote Results</t>
  </si>
  <si>
    <t>Cortland County Vote Results</t>
  </si>
  <si>
    <t>Oneida County Vote Results</t>
  </si>
  <si>
    <t>Part of Tioga County Vote Results</t>
  </si>
  <si>
    <t>Governor Vote by 23rd Congressional District - General Election - November 6, 2018</t>
  </si>
  <si>
    <t>Chemung County Vote Results</t>
  </si>
  <si>
    <t>Seneca County Vote Results</t>
  </si>
  <si>
    <t>Steuben County Vote Results</t>
  </si>
  <si>
    <t>Part of Ontario County Vote Results</t>
  </si>
  <si>
    <t>Governor Vote by 24th Congressional District - General Election - November 6, 2018</t>
  </si>
  <si>
    <t>Cayuga County Vote Results</t>
  </si>
  <si>
    <t>Onondaga County Vote Results</t>
  </si>
  <si>
    <t>Governor Vote by 25th Congressional District - General Election - November 6, 2018</t>
  </si>
  <si>
    <t>Governor Vote by 26th Congressional District - General Election - November 6, 2018</t>
  </si>
  <si>
    <t>Governor Vote by 27th Congressional District - General Election - November 6, 2018</t>
  </si>
  <si>
    <t>Orleans County Vote Results</t>
  </si>
  <si>
    <t>Total Votes by Party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</si>
</sst>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3" fillId="3" borderId="4" xfId="0" applyFont="1" applyFill="1" applyBorder="1"/>
    <xf numFmtId="3" fontId="2" fillId="0" borderId="1" xfId="0" applyNumberFormat="1" applyFont="1" applyBorder="1"/>
    <xf numFmtId="0" fontId="3" fillId="3" borderId="5" xfId="0" applyFont="1" applyFill="1" applyBorder="1"/>
    <xf numFmtId="3" fontId="2" fillId="0" borderId="3" xfId="0" applyNumberFormat="1" applyFont="1" applyBorder="1"/>
    <xf numFmtId="0" fontId="2" fillId="0" borderId="3" xfId="0" applyFont="1" applyBorder="1"/>
    <xf numFmtId="0" fontId="3" fillId="2" borderId="6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right" vertical="center" wrapText="1"/>
    </xf>
    <xf numFmtId="0" fontId="0" fillId="0" borderId="7" xfId="0" applyBorder="1"/>
    <xf numFmtId="0" fontId="3" fillId="2" borderId="2" xfId="0" applyFont="1" applyFill="1" applyBorder="1" applyAlignment="1">
      <alignment horizontal="right" vertical="center"/>
    </xf>
    <xf numFmtId="0" fontId="3" fillId="6" borderId="2" xfId="0" applyFont="1" applyFill="1" applyBorder="1" applyAlignment="1">
      <alignment horizontal="right" vertical="center"/>
    </xf>
    <xf numFmtId="3" fontId="2" fillId="4" borderId="1" xfId="0" applyNumberFormat="1" applyFont="1" applyFill="1" applyBorder="1"/>
    <xf numFmtId="3" fontId="2" fillId="7" borderId="1" xfId="0" applyNumberFormat="1" applyFont="1" applyFill="1" applyBorder="1"/>
    <xf numFmtId="3" fontId="2" fillId="5" borderId="1" xfId="0" applyNumberFormat="1" applyFont="1" applyFill="1" applyBorder="1"/>
    <xf numFmtId="3" fontId="0" fillId="0" borderId="0" xfId="0" applyNumberFormat="1"/>
    <xf numFmtId="3" fontId="4" fillId="0" borderId="1" xfId="0" applyNumberFormat="1" applyFont="1" applyBorder="1" applyAlignment="1">
      <alignment vertical="top"/>
    </xf>
  </cellXfs>
  <cellStyles count="1">
    <cellStyle name="Normal" xfId="0" builtinId="0"/>
  </cellStyles>
  <dxfs count="490"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5" xr:uid="{31B6AF4E-58DC-44C3-98F7-C0303512DDF0}" name="GovByCongressionalDistrict1General" displayName="GovByCongressionalDistrict1General" ref="A2:D16" totalsRowCount="1" headerRowDxfId="489" dataDxfId="487" headerRowBorderDxfId="488" tableBorderDxfId="486" totalsRowBorderDxfId="485">
  <autoFilter ref="A2:D15" xr:uid="{6526313A-D3BD-4208-8DA9-BFDF73D437B6}">
    <filterColumn colId="0" hiddenButton="1"/>
    <filterColumn colId="1" hiddenButton="1"/>
    <filterColumn colId="2" hiddenButton="1"/>
    <filterColumn colId="3" hiddenButton="1"/>
  </autoFilter>
  <tableColumns count="4">
    <tableColumn id="1" xr3:uid="{C4B74F4E-F6B0-4AE6-B859-5D42F3DD3346}" name="Candidate Name (Party)" totalsRowLabel="Total Votes by County" dataDxfId="484" totalsRowDxfId="483"/>
    <tableColumn id="4" xr3:uid="{C973A039-C867-45B5-BDC5-8A6A88189A77}" name="Part of Suffolk County Vote Results" totalsRowFunction="custom" dataDxfId="482" totalsRowDxfId="481">
      <totalsRowFormula>SUBTOTAL(109,GovByCongressionalDistrict1General[Total Votes by Candidate])</totalsRowFormula>
    </tableColumn>
    <tableColumn id="3" xr3:uid="{62B9AF3D-221E-4E42-A4A1-B847001D70B2}" name="Total Votes by Party" dataDxfId="480" totalsRowDxfId="479">
      <calculatedColumnFormula>GovByCongressionalDistrict1General[[#This Row],[Part of Suffolk County Vote Results]]</calculatedColumnFormula>
    </tableColumn>
    <tableColumn id="2" xr3:uid="{D4BE24F8-1C7F-471E-8E8C-7D93B88AE883}" name="Total Votes by Candidate" dataDxfId="478" totalsRowDxfId="477"/>
  </tableColumns>
  <tableStyleInfo name="TableStyleMedium2"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4" xr:uid="{CC2C36C2-BFB6-4893-B115-937695C404C3}" name="GovByCongressionalDistrict10General" displayName="GovByCongressionalDistrict10General" ref="A2:E16" totalsRowCount="1" headerRowDxfId="359" dataDxfId="357" headerRowBorderDxfId="358" tableBorderDxfId="356" totalsRowBorderDxfId="355">
  <autoFilter ref="A2:E15" xr:uid="{C425C754-5309-4227-91E9-63846ECB4068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21EAB05-2A73-4A72-A5B4-894F42BEF80D}" name="Candidate Name (Party)" totalsRowLabel="Total Votes by County" dataDxfId="354" totalsRowDxfId="353"/>
    <tableColumn id="2" xr3:uid="{53FFFADF-C1E5-4AC1-B29F-734AF52BB930}" name="Part of Kings County Vote Results" totalsRowFunction="sum" dataDxfId="352" totalsRowDxfId="351"/>
    <tableColumn id="4" xr3:uid="{5706B2A8-3FD7-4F67-BFFC-08AF64934EEE}" name="Part of New York County Vote Results" totalsRowFunction="sum" dataDxfId="350" totalsRowDxfId="349"/>
    <tableColumn id="3" xr3:uid="{D40ACE0D-6603-4FFB-B4B7-BD18211AA4C5}" name="Total Votes by Party" dataDxfId="348" totalsRowDxfId="347">
      <calculatedColumnFormula>SUM(GovByCongressionalDistrict10General[[#This Row],[Part of Kings County Vote Results]:[Part of New York County Vote Results]])</calculatedColumnFormula>
    </tableColumn>
    <tableColumn id="5" xr3:uid="{D00AAE65-E7EB-4D32-8A94-691E76A96D60}" name="Total Votes by Candidate" dataDxfId="346" totalsRowDxfId="345"/>
  </tableColumns>
  <tableStyleInfo name="TableStyleMedium2" showFirstColumn="0" showLastColumn="0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5" xr:uid="{D651465F-C820-4437-9984-50C2F467C842}" name="GovByCongressionalDistrict11General" displayName="GovByCongressionalDistrict11General" ref="A2:E16" totalsRowCount="1" headerRowDxfId="344" dataDxfId="342" headerRowBorderDxfId="343" tableBorderDxfId="341" totalsRowBorderDxfId="340">
  <autoFilter ref="A2:E15" xr:uid="{C9D41636-09E5-4D43-A768-973608349ED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BB433BB-6CEC-456C-90D6-B9F720BA3829}" name="Candidate Name (Party)" totalsRowLabel="Total Votes by County" dataDxfId="339" totalsRowDxfId="338"/>
    <tableColumn id="2" xr3:uid="{CFEC0F94-9CA6-414E-B553-AE449C136D11}" name="Richmond County Vote Results" totalsRowFunction="sum" dataDxfId="337" totalsRowDxfId="336"/>
    <tableColumn id="4" xr3:uid="{84DB86C3-A3AE-4D2C-9E37-43AE6A82418F}" name="Part of Kings County Vote Results" totalsRowFunction="sum" dataDxfId="335" totalsRowDxfId="334"/>
    <tableColumn id="3" xr3:uid="{F0FCE460-2203-4552-B8E3-F0FF596DA3A3}" name="Total Votes by Party" dataDxfId="333" totalsRowDxfId="332">
      <calculatedColumnFormula>SUM(GovByCongressionalDistrict11General[[#This Row],[Richmond County Vote Results]:[Part of Kings County Vote Results]])</calculatedColumnFormula>
    </tableColumn>
    <tableColumn id="5" xr3:uid="{AD06DD14-33D8-4BA1-9198-203CFCC4C90C}" name="Total Votes by Candidate" dataDxfId="331" totalsRowDxfId="330"/>
  </tableColumns>
  <tableStyleInfo name="TableStyleMedium2" showFirstColumn="0" showLastColumn="0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6" xr:uid="{238AF49D-DFD4-4AF9-81EF-C0A7815D102E}" name="GovByCongressionalDistrict12General" displayName="GovByCongressionalDistrict12General" ref="A2:F16" totalsRowCount="1" headerRowDxfId="329" dataDxfId="327" headerRowBorderDxfId="328" tableBorderDxfId="326" totalsRowBorderDxfId="325">
  <autoFilter ref="A2:F15" xr:uid="{AE0C4E7F-25BB-47BF-BA5D-B7909F281B7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45CB0EA4-8C76-4FF6-8F18-CCDF0A3E3375}" name="Candidate Name (Party)" totalsRowLabel="Total Votes by County" dataDxfId="324" totalsRowDxfId="323"/>
    <tableColumn id="2" xr3:uid="{D40ACBF4-9498-4529-88DE-14DF4E1B5F7B}" name="Part of Kings County Vote Results" totalsRowFunction="sum" dataDxfId="322" totalsRowDxfId="321"/>
    <tableColumn id="3" xr3:uid="{6A2D4CB2-3F6C-44E8-994E-3B333921DA29}" name="Part of New York County Vote Results" dataDxfId="320" totalsRowDxfId="319"/>
    <tableColumn id="4" xr3:uid="{64D1A165-B04B-47A1-8421-7873F407AB34}" name="Part of Queens County Vote Results" totalsRowFunction="sum" dataDxfId="318" totalsRowDxfId="317"/>
    <tableColumn id="6" xr3:uid="{F2F992C8-D704-4301-A7B3-12C972C28234}" name="Total Votes by Party" dataDxfId="316" totalsRowDxfId="315">
      <calculatedColumnFormula>SUM(GovByCongressionalDistrict12General[[#This Row],[Part of Kings County Vote Results]:[Part of Queens County Vote Results]])</calculatedColumnFormula>
    </tableColumn>
    <tableColumn id="5" xr3:uid="{A0FD2166-3E95-4B99-99E2-D2503FD6F6ED}" name="Total Votes by Candidate" dataDxfId="314" totalsRowDxfId="313"/>
  </tableColumns>
  <tableStyleInfo name="TableStyleMedium2" showFirstColumn="0" showLastColumn="0" showRowStripes="0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7" xr:uid="{3954938F-0626-4BF4-8B4C-7125A4620D1C}" name="GovByCongressionalDistrict13General" displayName="GovByCongressionalDistrict13General" ref="A2:E16" totalsRowCount="1" headerRowDxfId="312" dataDxfId="310" headerRowBorderDxfId="311" tableBorderDxfId="309" totalsRowBorderDxfId="308">
  <autoFilter ref="A2:E15" xr:uid="{249AF97E-910A-45C5-8D9E-5FF99A128D46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A6B7D77-6491-4F62-8F84-FE529FD5D1C9}" name="Candidate Name (Party)" totalsRowLabel="Total Votes by County" dataDxfId="307" totalsRowDxfId="306"/>
    <tableColumn id="2" xr3:uid="{87055194-65AC-4695-8C29-D32F405E2CEA}" name="Part of Bronx County Vote Results" totalsRowFunction="sum" dataDxfId="305"/>
    <tableColumn id="4" xr3:uid="{C51D07A7-851A-4CF8-9679-1CF824E63595}" name="Part of New York County Vote Results" totalsRowFunction="sum" dataDxfId="304"/>
    <tableColumn id="3" xr3:uid="{E451724E-5897-49E3-99C2-8363FF6C534F}" name="Total Votes by Party" dataDxfId="303" totalsRowDxfId="302">
      <calculatedColumnFormula>SUM(GovByCongressionalDistrict13General[[#This Row],[Part of Bronx County Vote Results]:[Part of New York County Vote Results]])</calculatedColumnFormula>
    </tableColumn>
    <tableColumn id="5" xr3:uid="{27A6CB90-AD81-4FB4-9499-6ABA75A68281}" name="Total Votes by Candidate" dataDxfId="301" totalsRowDxfId="300"/>
  </tableColumns>
  <tableStyleInfo name="TableStyleMedium2" showFirstColumn="0" showLastColumn="0" showRowStripes="0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8" xr:uid="{C17B2784-9EA2-46E1-A460-86CCF38CBF4B}" name="GovByCongressionalDistrict14General" displayName="GovByCongressionalDistrict14General" ref="A2:E16" totalsRowCount="1" headerRowDxfId="299" dataDxfId="297" headerRowBorderDxfId="298" tableBorderDxfId="296" totalsRowBorderDxfId="295">
  <autoFilter ref="A2:E15" xr:uid="{3F08A608-B682-43CD-AA64-1C1CC70C0F2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2236BBF5-D008-48E7-9273-06A4AEB43D8A}" name="Candidate Name (Party)" totalsRowLabel="Total Votes by County" dataDxfId="294" totalsRowDxfId="293"/>
    <tableColumn id="2" xr3:uid="{B6E3D7FD-238C-4163-B396-DDA2C6111A03}" name="Part of Bronx County Vote Results" totalsRowFunction="sum" dataDxfId="292" totalsRowDxfId="291"/>
    <tableColumn id="4" xr3:uid="{1D3234A2-601E-4743-B220-14CF7EBA6384}" name="Part of Queens County Vote Results" totalsRowFunction="sum" dataDxfId="290" totalsRowDxfId="289"/>
    <tableColumn id="3" xr3:uid="{35C9E905-31B8-41F4-8728-749E4A24CB8A}" name="Total Votes by Party" dataDxfId="288" totalsRowDxfId="287">
      <calculatedColumnFormula>SUM(GovByCongressionalDistrict14General[[#This Row],[Part of Bronx County Vote Results]:[Part of Queens County Vote Results]])</calculatedColumnFormula>
    </tableColumn>
    <tableColumn id="5" xr3:uid="{4432FD91-7B10-4987-8A29-C12AFA3FD440}" name="Total Votes by Candidate" dataDxfId="286" totalsRowDxfId="285"/>
  </tableColumns>
  <tableStyleInfo name="TableStyleMedium2" showFirstColumn="0" showLastColumn="0" showRowStripes="0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9" xr:uid="{B9204F88-1865-4D19-A21E-FFBA9D9AD7FA}" name="GovByCongressionalDistrict15General" displayName="GovByCongressionalDistrict15General" ref="A2:D16" totalsRowCount="1" headerRowDxfId="284" dataDxfId="282" headerRowBorderDxfId="283" tableBorderDxfId="281" totalsRowBorderDxfId="280">
  <autoFilter ref="A2:D15" xr:uid="{9C04CECD-0139-4611-B315-0B06F82DFDF7}">
    <filterColumn colId="0" hiddenButton="1"/>
    <filterColumn colId="1" hiddenButton="1"/>
    <filterColumn colId="2" hiddenButton="1"/>
    <filterColumn colId="3" hiddenButton="1"/>
  </autoFilter>
  <tableColumns count="4">
    <tableColumn id="1" xr3:uid="{88745261-A2C6-44AC-9300-A080131C730F}" name="Candidate Name (Party)" totalsRowLabel="Total Votes by County" dataDxfId="279" totalsRowDxfId="278"/>
    <tableColumn id="4" xr3:uid="{C6B2E43F-2E2C-4251-BC33-CC0C3DFDE636}" name="Part of Bronx County Vote Results" totalsRowFunction="custom" dataDxfId="277" totalsRowDxfId="276">
      <totalsRowFormula>SUBTOTAL(109,GovByCongressionalDistrict15General[Total Votes by Candidate])</totalsRowFormula>
    </tableColumn>
    <tableColumn id="3" xr3:uid="{B26BF7E5-4101-44C0-B40F-868FC2BBF478}" name="Total Votes by Party" dataDxfId="275" totalsRowDxfId="274">
      <calculatedColumnFormula>GovByCongressionalDistrict15General[[#This Row],[Part of Bronx County Vote Results]]</calculatedColumnFormula>
    </tableColumn>
    <tableColumn id="2" xr3:uid="{AE4EF30B-CAA0-4552-B56A-4E54EEDEF1B9}" name="Total Votes by Candidate" dataDxfId="273" totalsRowDxfId="272"/>
  </tableColumns>
  <tableStyleInfo name="TableStyleMedium2" showFirstColumn="0" showLastColumn="0" showRowStripes="0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0" xr:uid="{4A6FAF6D-823C-46E5-986D-F36A7D30F52D}" name="GovByCongressionalDistrict16General" displayName="GovByCongressionalDistrict16General" ref="A2:E16" totalsRowCount="1" headerRowDxfId="271" dataDxfId="269" headerRowBorderDxfId="270" tableBorderDxfId="268" totalsRowBorderDxfId="267">
  <autoFilter ref="A2:E15" xr:uid="{C68DAF7C-B53A-4805-B553-57F9EAA5B03B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B8A641B6-F636-43E3-BE1B-4782F8DE9FC7}" name="Candidate Name (Party)" totalsRowLabel="Total Votes by County" dataDxfId="266" totalsRowDxfId="265"/>
    <tableColumn id="2" xr3:uid="{973BD0F3-E16A-4CB3-871A-5B5EADA31ABC}" name="Part of Bronx County Vote Results" totalsRowFunction="sum" dataDxfId="264" totalsRowDxfId="263"/>
    <tableColumn id="4" xr3:uid="{BABA1145-6A6E-4EEC-B6CA-A12326BEB942}" name="Part of Westchester County Vote Results" totalsRowFunction="sum" dataDxfId="262" totalsRowDxfId="261"/>
    <tableColumn id="3" xr3:uid="{239CDEF4-7CCD-49A2-8EFC-B5D8C5259C87}" name="Total Votes by Party" dataDxfId="260" totalsRowDxfId="259">
      <calculatedColumnFormula>SUM(GovByCongressionalDistrict16General[[#This Row],[Part of Bronx County Vote Results]:[Part of Westchester County Vote Results]])</calculatedColumnFormula>
    </tableColumn>
    <tableColumn id="5" xr3:uid="{9F98DC8C-EBFC-4171-9639-75DD1C4EECA8}" name="Total Votes by Candidate" dataDxfId="258" totalsRowDxfId="257"/>
  </tableColumns>
  <tableStyleInfo name="TableStyleMedium2" showFirstColumn="0" showLastColumn="0" showRowStripes="0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1" xr:uid="{14062641-CBDE-46F2-88F5-9E8155D28C31}" name="GovByCongressionalDistrict17General" displayName="GovByCongressionalDistrict17General" ref="A2:E16" totalsRowCount="1" headerRowDxfId="256" dataDxfId="254" headerRowBorderDxfId="255" tableBorderDxfId="253" totalsRowBorderDxfId="252">
  <autoFilter ref="A2:E15" xr:uid="{8433E843-72B3-4FD3-9D5F-5E7839AB5E9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CDBC5F9-DC36-4B84-AF97-8CAF4BD2C597}" name="Candidate Name (Party)" totalsRowLabel="Total Votes by County" dataDxfId="251" totalsRowDxfId="250"/>
    <tableColumn id="2" xr3:uid="{83097B0F-B2F6-496D-86AA-37F11EAAB40C}" name="Rockland County Vote Results" totalsRowFunction="sum" dataDxfId="249" totalsRowDxfId="248"/>
    <tableColumn id="4" xr3:uid="{D25FF52B-3961-4227-94A7-9CABFA7BB3FE}" name="Part of Westchester County Vote Results" totalsRowFunction="sum" dataDxfId="247" totalsRowDxfId="246"/>
    <tableColumn id="3" xr3:uid="{4023687D-5C66-4FA0-9E54-6505DC66411F}" name="Total Votes by Party" dataDxfId="245" totalsRowDxfId="244">
      <calculatedColumnFormula>SUM(GovByCongressionalDistrict17General[[#This Row],[Rockland County Vote Results]:[Part of Westchester County Vote Results]])</calculatedColumnFormula>
    </tableColumn>
    <tableColumn id="5" xr3:uid="{3A336ACF-8D9B-411D-BF3E-976ABE566F55}" name="Total Votes by Candidate" dataDxfId="243" totalsRowDxfId="242"/>
  </tableColumns>
  <tableStyleInfo name="TableStyleMedium2" showFirstColumn="0" showLastColumn="0" showRowStripes="0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2" xr:uid="{0DE70915-9D0F-4FAB-B8D3-B7E8FEE2724E}" name="GovByCongressionalDistrict18General" displayName="GovByCongressionalDistrict18General" ref="A2:G16" totalsRowCount="1" headerRowDxfId="241" dataDxfId="239" headerRowBorderDxfId="240" tableBorderDxfId="238" totalsRowBorderDxfId="237">
  <autoFilter ref="A2:G15" xr:uid="{5F0FC73F-491B-4C05-8A91-D0C252A8CCC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650DD54A-849A-4A3D-A247-CCA1EC136ABA}" name="Candidate Name (Party)" totalsRowLabel="Total Votes by County" dataDxfId="236" totalsRowDxfId="235"/>
    <tableColumn id="2" xr3:uid="{E66ED490-5020-4CFD-995B-5ED479070DB7}" name="Orange County Vote Results" totalsRowFunction="sum" dataDxfId="234" totalsRowDxfId="233"/>
    <tableColumn id="6" xr3:uid="{F0BE7496-5131-4CD9-8593-71654D01B753}" name="Putnam County Vote Results" dataDxfId="232" totalsRowDxfId="231"/>
    <tableColumn id="3" xr3:uid="{51949F8D-7A33-4158-B243-B8C0F9D51352}" name="Part of Dutchess County Vote Results" dataDxfId="230" totalsRowDxfId="229"/>
    <tableColumn id="4" xr3:uid="{93E00DC9-16EC-4674-BBE9-04820AA0640F}" name="Part of Westchester County Vote Results" totalsRowFunction="sum" dataDxfId="228" totalsRowDxfId="227"/>
    <tableColumn id="7" xr3:uid="{D3A5EA18-6079-4D7A-BF46-B76452905AE9}" name="Total Votes by Party" dataDxfId="226" totalsRowDxfId="225">
      <calculatedColumnFormula>SUM(GovByCongressionalDistrict18General[[#This Row],[Orange County Vote Results]:[Part of Westchester County Vote Results]])</calculatedColumnFormula>
    </tableColumn>
    <tableColumn id="5" xr3:uid="{D0E2FFC3-F176-4244-8A15-2D37BB259049}" name="Total Votes by Candidate" dataDxfId="224" totalsRowDxfId="223"/>
  </tableColumns>
  <tableStyleInfo name="TableStyleMedium2" showFirstColumn="0" showLastColumn="0" showRowStripes="0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3" xr:uid="{B4022D5E-D9FE-4902-AA7C-E772EB4E4117}" name="GovByCongressionalDistrict19General" displayName="GovByCongressionalDistrict19General" ref="A2:N16" totalsRowCount="1" headerRowDxfId="222" dataDxfId="220" headerRowBorderDxfId="221" tableBorderDxfId="219" totalsRowBorderDxfId="218">
  <autoFilter ref="A2:N15" xr:uid="{2254374F-6315-466B-8374-98147BEA230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2FAED696-D172-4AEE-9D6E-79CC4BA99234}" name="Candidate Name (Party)" totalsRowLabel="Total Votes by County" dataDxfId="217" totalsRowDxfId="216"/>
    <tableColumn id="2" xr3:uid="{171A0718-0F28-4801-A2B6-5B7487858B9D}" name="Columbia County Vote Results" totalsRowFunction="sum" dataDxfId="215" totalsRowDxfId="214">
      <calculatedColumnFormula>+D3</calculatedColumnFormula>
    </tableColumn>
    <tableColumn id="13" xr3:uid="{B969B843-4260-4541-B958-DDD0FFE49496}" name="Delaware County Vote Results" dataDxfId="213" totalsRowDxfId="212"/>
    <tableColumn id="12" xr3:uid="{D00830B3-9E4D-4A41-B58A-CC56BAE61E48}" name="Greene County Vote Results" dataDxfId="211" totalsRowDxfId="210"/>
    <tableColumn id="11" xr3:uid="{D1AD1C08-D092-4016-A646-D9E00FF5958F}" name="Otsego County Vote Results" dataDxfId="209" totalsRowDxfId="208"/>
    <tableColumn id="10" xr3:uid="{22B09EBE-ECAF-49C4-83BC-884934621DF3}" name="Schoharie County Vote Results" dataDxfId="207" totalsRowDxfId="206"/>
    <tableColumn id="9" xr3:uid="{752DC512-51DE-444D-B2AE-A9B7BE5EE061}" name="Sullivan County Vote Results" dataDxfId="205" totalsRowDxfId="204"/>
    <tableColumn id="8" xr3:uid="{6AA7D196-74FA-4E61-8592-5F8FD0D39E2C}" name="Ulster County Vote Results" dataDxfId="203" totalsRowDxfId="202"/>
    <tableColumn id="7" xr3:uid="{D70F58DE-EEE1-4647-BF40-C74A7E35A1BD}" name="Part of Broome County Vote Results" dataDxfId="201" totalsRowDxfId="200"/>
    <tableColumn id="6" xr3:uid="{2B69704F-F03A-4E4A-BB2B-7226FC0ECE0F}" name="Part of Dutchess County Vote Results" dataDxfId="199" totalsRowDxfId="198"/>
    <tableColumn id="3" xr3:uid="{9D38A947-E4F4-4FCE-B47D-4C2B99B70839}" name="Part of Montgomery County Vote Results" dataDxfId="197" totalsRowDxfId="196"/>
    <tableColumn id="4" xr3:uid="{482F0762-867B-4E2B-9B08-4C99F472BDD4}" name="Part of Rensselaer County Vote Results" totalsRowFunction="sum" dataDxfId="195" totalsRowDxfId="194"/>
    <tableColumn id="14" xr3:uid="{F1905682-FC3F-4454-80C6-06642C749701}" name="Total Votes by Party" dataDxfId="193" totalsRowDxfId="192">
      <calculatedColumnFormula>SUM(GovByCongressionalDistrict19General[[#This Row],[Columbia County Vote Results]:[Part of Rensselaer County Vote Results]])</calculatedColumnFormula>
    </tableColumn>
    <tableColumn id="5" xr3:uid="{94AF6877-98C7-4648-A317-F74E13899973}" name="Total Votes by Candidate" dataDxfId="191" totalsRowDxfId="190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6" xr:uid="{826DC00D-6D85-46B7-9B80-156E59783831}" name="GovByCongressionalDistrict2General" displayName="GovByCongressionalDistrict2General" ref="A2:E16" totalsRowCount="1" headerRowDxfId="476" dataDxfId="474" headerRowBorderDxfId="475" tableBorderDxfId="473" totalsRowBorderDxfId="472">
  <autoFilter ref="A2:E15" xr:uid="{468DAA10-26F0-46FA-BC2F-DFFBF6B20318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3F0B04FE-A17F-441C-A12D-21FA98FC4D1D}" name="Candidate Name (Party)" totalsRowLabel="Total Votes by County" dataDxfId="471" totalsRowDxfId="470"/>
    <tableColumn id="2" xr3:uid="{AD3E2609-3145-4448-B409-D242D1A6F7A7}" name="Part of Nassau County Vote Results" totalsRowFunction="sum" dataDxfId="469" totalsRowDxfId="468"/>
    <tableColumn id="4" xr3:uid="{721BF58C-4B75-4A68-A07A-640E55E7FE0C}" name="Part of Suffolk County Vote Results" totalsRowFunction="sum" dataDxfId="467" totalsRowDxfId="466"/>
    <tableColumn id="3" xr3:uid="{46CB5045-2C82-4A3D-8C59-0BE8EA1434C2}" name="Total Votes by Party" dataDxfId="465" totalsRowDxfId="464">
      <calculatedColumnFormula>SUM(GovByCongressionalDistrict2General[[#This Row],[Part of Nassau County Vote Results]:[Part of Suffolk County Vote Results]])</calculatedColumnFormula>
    </tableColumn>
    <tableColumn id="5" xr3:uid="{E4738D01-7F90-4007-AC71-D97C3FC70EF3}" name="Total Votes by Candidate" dataDxfId="463" totalsRowDxfId="462"/>
  </tableColumns>
  <tableStyleInfo name="TableStyleMedium2" showFirstColumn="0" showLastColumn="0" showRowStripes="0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4" xr:uid="{5ACE897D-A212-42D3-AD2A-41C61538D994}" name="GovByCongressionalDistrict20General" displayName="GovByCongressionalDistrict20General" ref="A2:H16" totalsRowCount="1" headerRowDxfId="189" dataDxfId="187" headerRowBorderDxfId="188" tableBorderDxfId="186" totalsRowBorderDxfId="185">
  <autoFilter ref="A2:H15" xr:uid="{68EC7F64-D3DF-475D-BB52-7FE7F5D14C9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CF27CAE1-6D42-4F5F-B470-57D29265FD5F}" name="Candidate Name (Party)" totalsRowLabel="Total Votes by County" dataDxfId="184" totalsRowDxfId="183"/>
    <tableColumn id="2" xr3:uid="{6AD0909E-2970-4B8E-8FEA-69FF73165943}" name="Albany County Vote Results" totalsRowFunction="sum" dataDxfId="182" totalsRowDxfId="181"/>
    <tableColumn id="6" xr3:uid="{8F361151-6343-49E9-A312-4A5EEC550617}" name="Schenectady County Vote Results" dataDxfId="180" totalsRowDxfId="179"/>
    <tableColumn id="7" xr3:uid="{CD0C4DA8-1C37-41A1-9218-041421B7EE35}" name="Part of Montgomery County Vote Results" dataDxfId="178" totalsRowDxfId="177"/>
    <tableColumn id="3" xr3:uid="{768FE2F1-8941-4CFC-95E9-D00F636E9ED5}" name="Part of Rensselaer County Vote Results" dataDxfId="176" totalsRowDxfId="175"/>
    <tableColumn id="4" xr3:uid="{6F7C2258-0EF6-4C32-8FD5-7BD2CB07A218}" name="Part of Saratoga County Vote Results" totalsRowFunction="sum" dataDxfId="174" totalsRowDxfId="173"/>
    <tableColumn id="8" xr3:uid="{15A2D0CF-10DC-4C38-A6C5-CDD83C96DB9F}" name="Total Votes by Party" dataDxfId="172" totalsRowDxfId="171">
      <calculatedColumnFormula>SUM(GovByCongressionalDistrict20General[[#This Row],[Albany County Vote Results]:[Part of Saratoga County Vote Results]])</calculatedColumnFormula>
    </tableColumn>
    <tableColumn id="5" xr3:uid="{BACAA2C4-0B37-4237-8E8E-3DD885E9300E}" name="Total Votes by Candidate" dataDxfId="170" totalsRowDxfId="169"/>
  </tableColumns>
  <tableStyleInfo name="TableStyleMedium2" showFirstColumn="0" showLastColumn="0" showRowStripes="0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5" xr:uid="{1255E07B-BAD3-4049-8595-0BF7A1688856}" name="GovByCongressionalDistrict21General" displayName="GovByCongressionalDistrict21General" ref="A2:O16" totalsRowCount="1" headerRowDxfId="168" dataDxfId="166" headerRowBorderDxfId="167" tableBorderDxfId="165" totalsRowBorderDxfId="164">
  <autoFilter ref="A2:O15" xr:uid="{C8C76A89-EE5C-4098-9DF4-75B096AF77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C0D68CD5-06B7-481D-AE9E-71BBAD3A74A7}" name="Candidate Name (Party)" totalsRowLabel="Total Votes by County" dataDxfId="163" totalsRowDxfId="162"/>
    <tableColumn id="2" xr3:uid="{92CD3205-10B2-46F5-A514-19BEA0652428}" name="Clinton County Vote Results" totalsRowFunction="sum" dataDxfId="161" totalsRowDxfId="160"/>
    <tableColumn id="13" xr3:uid="{2CEE471E-4239-4ED0-B553-7CBD9C723514}" name="Essex County Vote Results" dataDxfId="159" totalsRowDxfId="158"/>
    <tableColumn id="12" xr3:uid="{6F9E06F7-30E4-4040-B191-EA453AC6F991}" name="Franklin County Vote Results" dataDxfId="157" totalsRowDxfId="156"/>
    <tableColumn id="11" xr3:uid="{CC8C23AB-8409-44B3-A654-AD12837BB65C}" name="Fulton County Vote Results" dataDxfId="155" totalsRowDxfId="154"/>
    <tableColumn id="10" xr3:uid="{50E98B08-A4F3-4E20-B798-7C0A4CAF159F}" name="Hamilton County Vote Results" dataDxfId="153" totalsRowDxfId="152"/>
    <tableColumn id="9" xr3:uid="{EAC7B3A3-398B-48E4-A44C-B500739593F6}" name="Jefferson County Vote Results" dataDxfId="151" totalsRowDxfId="150"/>
    <tableColumn id="8" xr3:uid="{21F29453-4936-46B9-AB47-D9EB7B2B6772}" name="Lewis County Vote Results" dataDxfId="149" totalsRowDxfId="148"/>
    <tableColumn id="7" xr3:uid="{9CF715AC-5745-497A-8F5E-A9084E7C9962}" name="St. Lawrence County Vote Results" dataDxfId="147" totalsRowDxfId="146"/>
    <tableColumn id="14" xr3:uid="{FA1517C0-B05C-47BB-AA9C-6F23C79316C8}" name="Warren County Vote Results" dataDxfId="145" totalsRowDxfId="144"/>
    <tableColumn id="6" xr3:uid="{22FD53C7-89C0-47C1-8C1B-A14CD13C883A}" name="Washington County Vote Results" dataDxfId="143" totalsRowDxfId="142"/>
    <tableColumn id="3" xr3:uid="{C1F00B54-2AE2-4F63-B228-8F9C8B21D346}" name="Part of Herkimer County Vote Results" dataDxfId="141" totalsRowDxfId="140"/>
    <tableColumn id="4" xr3:uid="{7FB1556E-16A0-4676-9A9C-D3ABDC02F615}" name="Part of Saratoga County Vote Results" totalsRowFunction="sum" dataDxfId="139" totalsRowDxfId="138"/>
    <tableColumn id="15" xr3:uid="{F1876BA3-FA1E-42E9-B2C3-90663A26C8FF}" name="Total Votes by Party" dataDxfId="137" totalsRowDxfId="136">
      <calculatedColumnFormula>SUM(GovByCongressionalDistrict21General[[#This Row],[Clinton County Vote Results]:[Part of Saratoga County Vote Results]])</calculatedColumnFormula>
    </tableColumn>
    <tableColumn id="5" xr3:uid="{32CB97EC-0EF1-4D78-9867-41D25BAB1238}" name="Total Votes by Candidate" dataDxfId="135" totalsRowDxfId="134"/>
  </tableColumns>
  <tableStyleInfo name="TableStyleMedium2" showFirstColumn="0" showLastColumn="0" showRowStripes="0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6" xr:uid="{351F11A3-1C0B-42B7-98D6-63744F5C29FC}" name="GovByCongressionalDistrict22General" displayName="GovByCongressionalDistrict22General" ref="A2:K16" totalsRowCount="1" headerRowDxfId="133" dataDxfId="131" headerRowBorderDxfId="132" tableBorderDxfId="130" totalsRowBorderDxfId="129">
  <autoFilter ref="A2:K15" xr:uid="{CA75CB03-04AE-487B-8C1C-A8B92FFC5D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78ADEA10-2898-4337-932D-7C58C605142A}" name="Candidate Name (Party)" totalsRowLabel="Total Votes by County" dataDxfId="128" totalsRowDxfId="127"/>
    <tableColumn id="2" xr3:uid="{794F2112-6950-48C4-B1EE-D2266F841ED3}" name="Chenago County Vote Results" totalsRowFunction="sum" dataDxfId="126" totalsRowDxfId="125"/>
    <tableColumn id="6" xr3:uid="{DEBABE74-D557-422F-86F1-C1A88A9C37A9}" name="Cortland County Vote Results" dataDxfId="124" totalsRowDxfId="123"/>
    <tableColumn id="7" xr3:uid="{2BCA5303-3845-44C4-8D7D-E81A7835E5FD}" name="Madison County Vote Results" dataDxfId="122" totalsRowDxfId="121"/>
    <tableColumn id="10" xr3:uid="{554DB7CA-2D29-4556-89C9-B80C9D0131B7}" name="Oneida County Vote Results" dataDxfId="120" totalsRowDxfId="119"/>
    <tableColumn id="9" xr3:uid="{A87507B2-F34B-454E-A3E4-3DE0A4F720C3}" name="Part of Broome County Vote Results" dataDxfId="118" totalsRowDxfId="117"/>
    <tableColumn id="8" xr3:uid="{A8262F09-16D6-4933-A154-9D42C944D427}" name="Part of Herkimer County Vote Results" dataDxfId="116" totalsRowDxfId="115"/>
    <tableColumn id="3" xr3:uid="{50FF503C-A337-4B7B-8E2E-24514961DF06}" name="Part of Oswego County Vote Results" dataDxfId="114" totalsRowDxfId="113"/>
    <tableColumn id="4" xr3:uid="{2A508F32-D77D-4801-8BE2-C14F29838366}" name="Part of Tioga County Vote Results" totalsRowFunction="sum" dataDxfId="112" totalsRowDxfId="111"/>
    <tableColumn id="11" xr3:uid="{B723B8C2-9FED-41DC-BBC0-77178C64065F}" name="Total Votes by Party" dataDxfId="110" totalsRowDxfId="109">
      <calculatedColumnFormula>SUM(GovByCongressionalDistrict22General[[#This Row],[Chenago County Vote Results]:[Part of Tioga County Vote Results]])</calculatedColumnFormula>
    </tableColumn>
    <tableColumn id="5" xr3:uid="{6D1B6E22-FEBC-47E8-9547-D0AFBDC6A917}" name="Total Votes by Candidate" dataDxfId="108" totalsRowDxfId="107"/>
  </tableColumns>
  <tableStyleInfo name="TableStyleMedium2" showFirstColumn="0" showLastColumn="0" showRowStripes="0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7" xr:uid="{46619D38-4B99-4075-A53C-C6514ECC092D}" name="GovByCongressionalDistrict23General" displayName="GovByCongressionalDistrict23General" ref="A2:N16" totalsRowCount="1" headerRowDxfId="106" dataDxfId="104" headerRowBorderDxfId="105" tableBorderDxfId="103" totalsRowBorderDxfId="102">
  <autoFilter ref="A2:N15" xr:uid="{D3DCF6B0-8CBC-4706-843D-91FDE2C9399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3ACADC09-84F9-4D58-A415-46C7BF4D7FE6}" name="Candidate Name (Party)" totalsRowLabel="Total Votes by County" dataDxfId="101" totalsRowDxfId="100"/>
    <tableColumn id="2" xr3:uid="{F42208A2-1E63-4B28-A259-C7F4372CFE4C}" name="Allegany County Vote Results" totalsRowFunction="sum" dataDxfId="99" totalsRowDxfId="98"/>
    <tableColumn id="13" xr3:uid="{988AF38B-1835-478C-A0E4-6059D79A0069}" name="Cattaraugus County Vote Results" dataDxfId="97" totalsRowDxfId="96"/>
    <tableColumn id="12" xr3:uid="{F27CDA74-BE33-4249-AA3E-99341E3B4B92}" name="Chautauqua County Vote Results" dataDxfId="95" totalsRowDxfId="94"/>
    <tableColumn id="11" xr3:uid="{A5205668-BAC7-4C76-A8B0-95DA22E95D6E}" name="Chemung County Vote Results" dataDxfId="93" totalsRowDxfId="92"/>
    <tableColumn id="10" xr3:uid="{D98D7E3D-A4DE-4C12-B56E-1E64F4806069}" name="Schuyler County Vote Results" dataDxfId="91" totalsRowDxfId="90"/>
    <tableColumn id="9" xr3:uid="{D781ECB8-A435-4060-85D5-27CC2FE5638E}" name="Seneca County Vote Results" dataDxfId="89" totalsRowDxfId="88"/>
    <tableColumn id="8" xr3:uid="{4F4F9AF2-8758-473D-A940-C186E224BFC9}" name="Steuben County Vote Results" dataDxfId="87" totalsRowDxfId="86"/>
    <tableColumn id="7" xr3:uid="{19024CB4-39FD-4F87-B6D3-C25FB7732B15}" name="Tompkins County Vote Results" dataDxfId="85" totalsRowDxfId="84"/>
    <tableColumn id="14" xr3:uid="{EEB43904-C353-4323-B708-B09D5013D38D}" name="Yates County Vote Results" dataDxfId="83" totalsRowDxfId="82"/>
    <tableColumn id="3" xr3:uid="{8E946A05-DC4C-44BC-B0DD-FE326B745CF7}" name="Part of Ontario County Vote Results" dataDxfId="81" totalsRowDxfId="80"/>
    <tableColumn id="4" xr3:uid="{5277A1A5-A5A5-40B7-BCD1-AECF68B0A057}" name="Part of Tioga County Vote Results" totalsRowFunction="sum" dataDxfId="79" totalsRowDxfId="78"/>
    <tableColumn id="6" xr3:uid="{9D861145-036F-4B67-9D46-7C3CA7E4A6CE}" name="Total Votes by Party" dataDxfId="77" totalsRowDxfId="76">
      <calculatedColumnFormula>SUM(GovByCongressionalDistrict23General[[#This Row],[Allegany County Vote Results]:[Part of Tioga County Vote Results]])</calculatedColumnFormula>
    </tableColumn>
    <tableColumn id="5" xr3:uid="{2A7F4C4E-AF92-4B62-965C-FC3B9A21E7B8}" name="Total Votes by Candidate" dataDxfId="75" totalsRowDxfId="74"/>
  </tableColumns>
  <tableStyleInfo name="TableStyleMedium2" showFirstColumn="0" showLastColumn="0" showRowStripes="0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8" xr:uid="{0CA29B7D-0355-494F-9352-02B632E11C45}" name="GovByCongressionalDistrict24General" displayName="GovByCongressionalDistrict24General" ref="A2:G16" totalsRowCount="1" headerRowDxfId="73" dataDxfId="71" headerRowBorderDxfId="72" tableBorderDxfId="70" totalsRowBorderDxfId="69">
  <autoFilter ref="A2:G15" xr:uid="{8C216E19-BFB7-471A-8C6F-F32C00AF866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3A6EC1ED-B364-4E87-920A-FE8CF4AE65DA}" name="Candidate Name (Party)" totalsRowLabel="Total Votes by County" dataDxfId="68" totalsRowDxfId="67"/>
    <tableColumn id="2" xr3:uid="{6A3A0977-F669-4EDE-82FC-9CFFEA29273B}" name="Cayuga County Vote Results" totalsRowFunction="sum" dataDxfId="66" totalsRowDxfId="65"/>
    <tableColumn id="6" xr3:uid="{C745A05C-800C-4EF2-ADE6-CDFF6DB1B35C}" name="Onondaga County Vote Results" dataDxfId="64" totalsRowDxfId="63"/>
    <tableColumn id="3" xr3:uid="{65311EB7-5416-4A37-827C-85EBFEF16C83}" name="Wayne County Vote Results" dataDxfId="62" totalsRowDxfId="61"/>
    <tableColumn id="4" xr3:uid="{EF32958C-17D2-43ED-8F24-311C6EDC1AF7}" name="Part of Oswego County Vote Results" totalsRowFunction="sum" dataDxfId="60" totalsRowDxfId="59"/>
    <tableColumn id="7" xr3:uid="{C47CC2E7-0B63-42BA-BB9F-CECF0B6D51D4}" name="Total Votes by Party" dataDxfId="58" totalsRowDxfId="57">
      <calculatedColumnFormula>SUM(GovByCongressionalDistrict24General[[#This Row],[Cayuga County Vote Results]:[Part of Oswego County Vote Results]])</calculatedColumnFormula>
    </tableColumn>
    <tableColumn id="5" xr3:uid="{49DDC301-17B0-4666-ADC3-DB6844655634}" name="Total Votes by Candidate" dataDxfId="56" totalsRowDxfId="55"/>
  </tableColumns>
  <tableStyleInfo name="TableStyleMedium2" showFirstColumn="0" showLastColumn="0" showRowStripes="0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9" xr:uid="{78C95972-2E15-4261-8B54-CA44CDC700A7}" name="GovByCongressionalDistrict25General" displayName="GovByCongressionalDistrict25General" ref="A2:D16" totalsRowCount="1" headerRowDxfId="54" dataDxfId="52" headerRowBorderDxfId="53" tableBorderDxfId="51" totalsRowBorderDxfId="50">
  <autoFilter ref="A2:D15" xr:uid="{67EE7658-ABC4-469F-8895-F085C3D2B751}">
    <filterColumn colId="0" hiddenButton="1"/>
    <filterColumn colId="1" hiddenButton="1"/>
    <filterColumn colId="2" hiddenButton="1"/>
    <filterColumn colId="3" hiddenButton="1"/>
  </autoFilter>
  <tableColumns count="4">
    <tableColumn id="1" xr3:uid="{439B50AB-ACA7-4134-A360-926838AD26E5}" name="Candidate Name (Party)" totalsRowLabel="Total Votes by County" dataDxfId="49" totalsRowDxfId="48"/>
    <tableColumn id="4" xr3:uid="{C9E300EB-CEF0-461D-B1DB-4FA905A3EB0C}" name="Part of Monroe County Vote Results" totalsRowFunction="custom" dataDxfId="47" totalsRowDxfId="46">
      <totalsRowFormula>SUBTOTAL(109,GovByCongressionalDistrict25General[Total Votes by Candidate])</totalsRowFormula>
    </tableColumn>
    <tableColumn id="3" xr3:uid="{7B6A9C39-B13F-464C-8FDD-365C5F59B038}" name="Total Votes by Party" dataDxfId="45" totalsRowDxfId="44">
      <calculatedColumnFormula>GovByCongressionalDistrict25General[[#This Row],[Part of Monroe County Vote Results]]</calculatedColumnFormula>
    </tableColumn>
    <tableColumn id="2" xr3:uid="{E0D5A96A-A3B1-419C-A39A-EC07298DB433}" name="Total Votes by Candidate" dataDxfId="43" totalsRowDxfId="42"/>
  </tableColumns>
  <tableStyleInfo name="TableStyleMedium2" showFirstColumn="0" showLastColumn="0" showRowStripes="0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0" xr:uid="{2D928E16-276A-476A-BCBF-07B8AE407A1F}" name="GovByCongressionalDistrict26General" displayName="GovByCongressionalDistrict26General" ref="A2:E16" totalsRowCount="1" headerRowDxfId="41" dataDxfId="39" headerRowBorderDxfId="40" tableBorderDxfId="38" totalsRowBorderDxfId="37">
  <autoFilter ref="A2:E15" xr:uid="{1BFB48D6-3F42-41AE-9E61-F649FB2939E5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3F1D4808-17D8-43F8-AF12-929FA910A930}" name="Candidate Name (Party)" totalsRowLabel="Total Votes by County" dataDxfId="36" totalsRowDxfId="35"/>
    <tableColumn id="2" xr3:uid="{1A0B1339-587C-463E-BBC0-C7B323E13F36}" name="Part of Erie County Vote Results" totalsRowFunction="sum" dataDxfId="34" totalsRowDxfId="33"/>
    <tableColumn id="4" xr3:uid="{01F9EFE1-6058-4EBD-BA58-DE2959DC5FF8}" name="Part of Niagara County Vote Results" totalsRowFunction="sum" dataDxfId="32" totalsRowDxfId="31"/>
    <tableColumn id="3" xr3:uid="{1BB2F2FF-7D31-4061-B5BA-3BC0D754F2E7}" name="Total Votes by Party" dataDxfId="30" totalsRowDxfId="29">
      <calculatedColumnFormula>SUM(GovByCongressionalDistrict26General[[#This Row],[Part of Erie County Vote Results]:[Part of Niagara County Vote Results]])</calculatedColumnFormula>
    </tableColumn>
    <tableColumn id="5" xr3:uid="{321E6BA1-BBF8-45B5-9BE1-1531A5484FEA}" name="Total Votes by Candidate" dataDxfId="28" totalsRowDxfId="27"/>
  </tableColumns>
  <tableStyleInfo name="TableStyleMedium2" showFirstColumn="0" showLastColumn="0" showRowStripes="0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1" xr:uid="{04C02206-D7D3-4A52-A9DA-CB65C08CF900}" name="GovByCongressionalDistrict27General" displayName="GovByCongressionalDistrict27General" ref="A2:K16" totalsRowCount="1" headerRowDxfId="26" dataDxfId="24" headerRowBorderDxfId="25" tableBorderDxfId="23" totalsRowBorderDxfId="22">
  <autoFilter ref="A2:K15" xr:uid="{FA5BFEE8-5F40-49B9-BEC1-69FE5695A5C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E6BF7CB6-31F6-4CC0-986C-ECEB8A61CA7F}" name="Candidate Name (Party)" totalsRowLabel="Total Votes by County" dataDxfId="21" totalsRowDxfId="20"/>
    <tableColumn id="2" xr3:uid="{05B4A68A-06CD-4292-BA6E-664461F55828}" name="Genesee County Vote Results" totalsRowFunction="sum" dataDxfId="19" totalsRowDxfId="18"/>
    <tableColumn id="13" xr3:uid="{7E9CF6A8-C9FC-4ABB-B0B6-0538DC2C1BE9}" name="Livingston County Vote Results" dataDxfId="17" totalsRowDxfId="16"/>
    <tableColumn id="12" xr3:uid="{6EAFC751-51C1-4C72-AEA5-340BEA6E5ABC}" name="Orleans County Vote Results" dataDxfId="15" totalsRowDxfId="14"/>
    <tableColumn id="11" xr3:uid="{C919AD8D-92F5-463D-917A-FDCBBF7A8085}" name="Wyoming County Vote Results" dataDxfId="13" totalsRowDxfId="12"/>
    <tableColumn id="10" xr3:uid="{49744071-5939-4905-B9CE-9E676284CE7B}" name="Part of Erie County Vote Results" dataDxfId="11" totalsRowDxfId="10"/>
    <tableColumn id="9" xr3:uid="{A18C4157-0FB4-4E17-973A-583A68271B7E}" name="Part of Monroe County Vote Results" dataDxfId="9" totalsRowDxfId="8"/>
    <tableColumn id="3" xr3:uid="{9E4D63F4-876F-42A2-81FA-C74D3A61A208}" name="Part of Niagara County Vote Results" dataDxfId="7" totalsRowDxfId="6"/>
    <tableColumn id="4" xr3:uid="{863AE04E-932C-44C8-86D2-0E48423F6177}" name="Part of Ontario County Vote Results" totalsRowFunction="sum" dataDxfId="5" totalsRowDxfId="4"/>
    <tableColumn id="6" xr3:uid="{A1A96FEE-8AF9-423F-81CA-85D2CA680BF4}" name="Total Votes by Party" dataDxfId="3" totalsRowDxfId="2">
      <calculatedColumnFormula>SUM(GovByCongressionalDistrict27General[[#This Row],[Genesee County Vote Results]:[Part of Ontario County Vote Results]])</calculatedColumnFormula>
    </tableColumn>
    <tableColumn id="5" xr3:uid="{52AB5655-2DAD-4FBA-A416-B3DA1E73FC6D}" name="Total Votes by Candidate" dataDxfId="1" totalsRowDxfId="0"/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7" xr:uid="{7B6F80E9-074F-4626-93B7-D39C40DCF6CF}" name="GovByCongressionalDistrict3General" displayName="GovByCongressionalDistrict3General" ref="A2:F16" totalsRowCount="1" headerRowDxfId="461" dataDxfId="459" headerRowBorderDxfId="460" tableBorderDxfId="458" totalsRowBorderDxfId="457">
  <autoFilter ref="A2:F15" xr:uid="{67B70047-A155-4CDF-A0D7-DDAB8774903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DC732400-BC94-4BE3-AFE2-66DC232D507D}" name="Candidate Name (Party)" totalsRowLabel="Total Votes by County" dataDxfId="456" totalsRowDxfId="455"/>
    <tableColumn id="2" xr3:uid="{3F2AFFD9-2040-4BFA-9668-40ED9AAC8B3C}" name="Part of Nassau County Vote Results" totalsRowFunction="sum" dataDxfId="454" totalsRowDxfId="453"/>
    <tableColumn id="3" xr3:uid="{0EB473D4-50C0-4B1E-9DC4-B33E1A1E91B4}" name="Part of Queens County Vote Results" dataDxfId="452" totalsRowDxfId="451"/>
    <tableColumn id="4" xr3:uid="{A604F620-DC0F-4C75-A5C4-07B003E9DA50}" name="Part of Suffolk County Vote Results" totalsRowFunction="sum" dataDxfId="450" totalsRowDxfId="449"/>
    <tableColumn id="6" xr3:uid="{05E94489-44C3-4E9A-A742-6C0DBE2EF9BB}" name="Total Votes by Party" dataDxfId="448" totalsRowDxfId="447">
      <calculatedColumnFormula>SUM(GovByCongressionalDistrict3General[[#This Row],[Part of Nassau County Vote Results]:[Part of Suffolk County Vote Results]])</calculatedColumnFormula>
    </tableColumn>
    <tableColumn id="5" xr3:uid="{7D321970-045F-4004-8353-4DD2A76C52C7}" name="Total Votes by Candidate" dataDxfId="446" totalsRowDxfId="445"/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8" xr:uid="{57D19BC8-08BD-434E-BB51-8841F39133DC}" name="GovByCongressionalDistrict4General" displayName="GovByCongressionalDistrict4General" ref="A2:D16" totalsRowCount="1" headerRowDxfId="444" dataDxfId="442" headerRowBorderDxfId="443" tableBorderDxfId="441" totalsRowBorderDxfId="440">
  <autoFilter ref="A2:D15" xr:uid="{14C973AD-6C0E-4DA0-883B-F9148E32693B}">
    <filterColumn colId="0" hiddenButton="1"/>
    <filterColumn colId="1" hiddenButton="1"/>
    <filterColumn colId="2" hiddenButton="1"/>
    <filterColumn colId="3" hiddenButton="1"/>
  </autoFilter>
  <tableColumns count="4">
    <tableColumn id="1" xr3:uid="{FABFA3FF-8576-4AAC-84B4-8FFACF2C6DF1}" name="Candidate Name (Party)" totalsRowLabel="Total Votes by County" dataDxfId="439" totalsRowDxfId="438"/>
    <tableColumn id="4" xr3:uid="{4D0C5A7C-0889-4ABA-805F-8EF107E07340}" name="Part of Nassau County Vote Results" totalsRowFunction="custom" dataDxfId="437" totalsRowDxfId="436">
      <totalsRowFormula>SUBTOTAL(109,GovByCongressionalDistrict4General[Total Votes by Candidate])</totalsRowFormula>
    </tableColumn>
    <tableColumn id="3" xr3:uid="{5D52DB12-6D13-43E1-8928-54966BD51AD4}" name="Total Votes by Party" dataDxfId="435" totalsRowDxfId="434">
      <calculatedColumnFormula>GovByCongressionalDistrict4General[[#This Row],[Part of Nassau County Vote Results]]</calculatedColumnFormula>
    </tableColumn>
    <tableColumn id="2" xr3:uid="{88DA955F-0D9F-4299-94E9-C0025C662078}" name="Total Votes by Candidate" dataDxfId="433" totalsRowDxfId="432"/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9" xr:uid="{0321ADA6-DB22-4497-AE88-B8B45EBEFED3}" name="GovByCongressionalDistrict5General" displayName="GovByCongressionalDistrict5General" ref="A2:E16" totalsRowCount="1" headerRowDxfId="431" dataDxfId="429" headerRowBorderDxfId="430" tableBorderDxfId="428" totalsRowBorderDxfId="427">
  <autoFilter ref="A2:E15" xr:uid="{AB677FDC-2B43-41D6-BA26-D08EE50F2F8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333D390-5593-4EAB-AE4A-2D59EF1AE385}" name="Candidate Name (Party)" totalsRowLabel="Total Votes by County" dataDxfId="426" totalsRowDxfId="425"/>
    <tableColumn id="2" xr3:uid="{EA867FCE-33E0-4A2B-AE36-136C79DA561C}" name="Part of Nassau County Vote Results" totalsRowFunction="sum" dataDxfId="424" totalsRowDxfId="423"/>
    <tableColumn id="4" xr3:uid="{511CF1A1-EED1-43C4-99D5-A08BC423DD9B}" name="Part of Queens County Vote Results" totalsRowFunction="sum" dataDxfId="422" totalsRowDxfId="421"/>
    <tableColumn id="3" xr3:uid="{FA49AEA4-A2D1-480C-B0CF-F68372F5220A}" name="Total Votes by Party" dataDxfId="420" totalsRowDxfId="419">
      <calculatedColumnFormula>SUM(GovByCongressionalDistrict5General[[#This Row],[Part of Nassau County Vote Results]:[Part of Queens County Vote Results]])</calculatedColumnFormula>
    </tableColumn>
    <tableColumn id="5" xr3:uid="{295647F8-D2C0-4DF8-B62C-FE94BA8B820F}" name="Total Votes by Candidate" dataDxfId="418" totalsRowDxfId="417"/>
  </tableColumns>
  <tableStyleInfo name="TableStyleMedium2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0" xr:uid="{42F4D54C-0329-450D-85C6-6C0A3CA9AADD}" name="GovByCongressionalDistrict6General" displayName="GovByCongressionalDistrict6General" ref="A2:D16" totalsRowCount="1" headerRowDxfId="416" dataDxfId="414" headerRowBorderDxfId="415" tableBorderDxfId="413" totalsRowBorderDxfId="412">
  <autoFilter ref="A2:D15" xr:uid="{8704B8B9-A1B4-4CD9-A54A-2A52E163FDF5}">
    <filterColumn colId="0" hiddenButton="1"/>
    <filterColumn colId="1" hiddenButton="1"/>
    <filterColumn colId="2" hiddenButton="1"/>
    <filterColumn colId="3" hiddenButton="1"/>
  </autoFilter>
  <tableColumns count="4">
    <tableColumn id="1" xr3:uid="{9581B370-5B8A-4460-85DB-B12AE3149FBE}" name="Candidate Name (Party)" totalsRowLabel="Total Votes by County" dataDxfId="411" totalsRowDxfId="410"/>
    <tableColumn id="4" xr3:uid="{53483AC5-6E1D-488E-B13D-3D839581A604}" name="Part of Queens County Vote Results" totalsRowFunction="custom" dataDxfId="409">
      <totalsRowFormula>SUBTOTAL(109,GovByCongressionalDistrict6General[Total Votes by Candidate])</totalsRowFormula>
    </tableColumn>
    <tableColumn id="3" xr3:uid="{57DE62C7-A595-4E54-8649-F4B8D2D3F4F1}" name="Total Votes by Party" dataDxfId="408" totalsRowDxfId="407">
      <calculatedColumnFormula>GovByCongressionalDistrict6General[[#This Row],[Part of Queens County Vote Results]]</calculatedColumnFormula>
    </tableColumn>
    <tableColumn id="2" xr3:uid="{D54E5B35-9A7D-4383-9844-FB98C19A477B}" name="Total Votes by Candidate" dataDxfId="406" totalsRowDxfId="405"/>
  </tableColumns>
  <tableStyleInfo name="TableStyleMedium2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1" xr:uid="{235FE3E8-32F5-4D7E-A9D2-CE2453A9CB9B}" name="GovByCongressionalDistrict7General" displayName="GovByCongressionalDistrict7General" ref="A2:F16" totalsRowCount="1" headerRowDxfId="404" dataDxfId="402" headerRowBorderDxfId="403" tableBorderDxfId="401" totalsRowBorderDxfId="400">
  <autoFilter ref="A2:F15" xr:uid="{897AD01D-E6B6-4410-B60B-9E214506573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2C5F4FF5-1B8B-446C-AF42-868B376B3AD2}" name="Candidate Name (Party)" totalsRowLabel="Total Votes by County" dataDxfId="399" totalsRowDxfId="398"/>
    <tableColumn id="2" xr3:uid="{EA8C1447-C1EF-415A-A819-BAD3ECFF9DB6}" name="Part of Kings County Vote Results" totalsRowFunction="sum" dataDxfId="397" totalsRowDxfId="396"/>
    <tableColumn id="3" xr3:uid="{A22E4E0B-B1F3-4CB9-8F91-5CFD5AE7DE86}" name="Part of New York County Vote Results" dataDxfId="395" totalsRowDxfId="394"/>
    <tableColumn id="4" xr3:uid="{51A39994-F5DD-4E3F-AEA0-DFE5E826FE03}" name="Part of Queens County Vote Results" totalsRowFunction="sum" dataDxfId="393" totalsRowDxfId="392"/>
    <tableColumn id="6" xr3:uid="{CDC8796A-1231-4BB0-8599-1671437CCD95}" name="Total Votes by Party" dataDxfId="391" totalsRowDxfId="390">
      <calculatedColumnFormula>SUM(GovByCongressionalDistrict7General[[#This Row],[Part of Kings County Vote Results]:[Part of Queens County Vote Results]])</calculatedColumnFormula>
    </tableColumn>
    <tableColumn id="5" xr3:uid="{91091F2C-F40F-49FA-89AA-23DB7C6DD4D5}" name="Total Votes by Candidate" dataDxfId="389" totalsRowDxfId="388"/>
  </tableColumns>
  <tableStyleInfo name="TableStyleMedium2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2" xr:uid="{C4325BD0-4F56-4319-85F6-C17FEA0EFD72}" name="GovByCongressionalDistrict8General" displayName="GovByCongressionalDistrict8General" ref="A2:E16" totalsRowCount="1" headerRowDxfId="387" dataDxfId="385" headerRowBorderDxfId="386" tableBorderDxfId="384" totalsRowBorderDxfId="383">
  <autoFilter ref="A2:E15" xr:uid="{47520893-DBA5-4B57-9907-93A9801366FF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1C8DBA2-FC31-414B-A967-8472DC00D1CE}" name="Candidate Name (Party)" totalsRowLabel="Total Votes by County" dataDxfId="382" totalsRowDxfId="381"/>
    <tableColumn id="2" xr3:uid="{C8CBE45A-C719-4000-B31D-8D72B95ABF4D}" name="Part of Kings County Vote Results" totalsRowFunction="sum" dataDxfId="380" totalsRowDxfId="379"/>
    <tableColumn id="4" xr3:uid="{A4FDA3D3-E510-4534-8750-7DC7E3B2741D}" name="Part of Queens County Vote Results" totalsRowFunction="sum" dataDxfId="378" totalsRowDxfId="377"/>
    <tableColumn id="3" xr3:uid="{526C85AB-0C0D-434A-A77E-1389C3E1C479}" name="Total Votes by Party" dataDxfId="376" totalsRowDxfId="375">
      <calculatedColumnFormula>SUM(GovByCongressionalDistrict8General[[#This Row],[Part of Kings County Vote Results]:[Part of Queens County Vote Results]])</calculatedColumnFormula>
    </tableColumn>
    <tableColumn id="5" xr3:uid="{AA392999-C26C-44E8-BE37-7AA0389AB40A}" name="Total Votes by Candidate" dataDxfId="374" totalsRowDxfId="373"/>
  </tableColumns>
  <tableStyleInfo name="TableStyleMedium2"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3" xr:uid="{12EFC346-A8C3-47FC-926F-0CA09FCF393F}" name="GovByCongressionalDistrict9General" displayName="GovByCongressionalDistrict9General" ref="A2:D16" totalsRowCount="1" headerRowDxfId="372" dataDxfId="370" headerRowBorderDxfId="371" tableBorderDxfId="369" totalsRowBorderDxfId="368">
  <autoFilter ref="A2:D15" xr:uid="{EAFDBA85-1E76-4158-986E-6F4E079A1977}">
    <filterColumn colId="0" hiddenButton="1"/>
    <filterColumn colId="1" hiddenButton="1"/>
    <filterColumn colId="2" hiddenButton="1"/>
    <filterColumn colId="3" hiddenButton="1"/>
  </autoFilter>
  <tableColumns count="4">
    <tableColumn id="1" xr3:uid="{B23600EA-A10F-4877-AB6A-AED7C5B35D35}" name="Candidate Name (Party)" totalsRowLabel="Total Votes by County" dataDxfId="367" totalsRowDxfId="366"/>
    <tableColumn id="4" xr3:uid="{FF53D3FA-9CDE-4E64-ADD2-2C681F2AAFAC}" name="Part of Kings County Vote Results" totalsRowFunction="custom" dataDxfId="365" totalsRowDxfId="364">
      <totalsRowFormula>SUBTOTAL(109,GovByCongressionalDistrict9General[Total Votes by Candidate])</totalsRowFormula>
    </tableColumn>
    <tableColumn id="3" xr3:uid="{3CC4019A-3A15-452D-8C09-A98EA55775D1}" name="Total Votes by Party" dataDxfId="363" totalsRowDxfId="362">
      <calculatedColumnFormula>GovByCongressionalDistrict9General[[#This Row],[Part of Kings County Vote Results]]</calculatedColumnFormula>
    </tableColumn>
    <tableColumn id="2" xr3:uid="{ABBD888F-761F-4C4A-8010-2CDC75916092}" name="Total Votes by Candidate" dataDxfId="361" totalsRowDxfId="36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"/>
  <sheetViews>
    <sheetView tabSelected="1" zoomScaleNormal="100" workbookViewId="0"/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52</v>
      </c>
    </row>
    <row r="2" spans="1:4" ht="24.95" customHeight="1" x14ac:dyDescent="0.2">
      <c r="A2" s="7" t="s">
        <v>12</v>
      </c>
      <c r="B2" s="8" t="s">
        <v>13</v>
      </c>
      <c r="C2" s="10" t="s">
        <v>105</v>
      </c>
      <c r="D2" s="11" t="s">
        <v>5</v>
      </c>
    </row>
    <row r="3" spans="1:4" x14ac:dyDescent="0.2">
      <c r="A3" s="2" t="s">
        <v>3</v>
      </c>
      <c r="B3" s="3">
        <v>124206</v>
      </c>
      <c r="C3" s="12">
        <f>GovByCongressionalDistrict1General[[#This Row],[Part of Suffolk County Vote Results]]</f>
        <v>124206</v>
      </c>
      <c r="D3" s="13">
        <f>SUM(C3,C7,C8,C9)</f>
        <v>132135</v>
      </c>
    </row>
    <row r="4" spans="1:4" x14ac:dyDescent="0.2">
      <c r="A4" s="2" t="s">
        <v>14</v>
      </c>
      <c r="B4" s="3">
        <v>115979</v>
      </c>
      <c r="C4" s="12">
        <f>GovByCongressionalDistrict1General[[#This Row],[Part of Suffolk County Vote Results]]</f>
        <v>115979</v>
      </c>
      <c r="D4" s="13">
        <f>SUM(C4,C5,C10)</f>
        <v>131023</v>
      </c>
    </row>
    <row r="5" spans="1:4" x14ac:dyDescent="0.2">
      <c r="A5" s="2" t="s">
        <v>15</v>
      </c>
      <c r="B5" s="3">
        <v>14174</v>
      </c>
      <c r="C5" s="12">
        <f>GovByCongressionalDistrict1General[[#This Row],[Part of Suffolk County Vote Results]]</f>
        <v>14174</v>
      </c>
      <c r="D5" s="14"/>
    </row>
    <row r="6" spans="1:4" x14ac:dyDescent="0.2">
      <c r="A6" s="2" t="s">
        <v>6</v>
      </c>
      <c r="B6" s="3">
        <v>2503</v>
      </c>
      <c r="C6" s="12">
        <f>GovByCongressionalDistrict1General[[#This Row],[Part of Suffolk County Vote Results]]</f>
        <v>2503</v>
      </c>
      <c r="D6" s="13">
        <f>GovByCongressionalDistrict1General[[#This Row],[Total Votes by Party]]</f>
        <v>2503</v>
      </c>
    </row>
    <row r="7" spans="1:4" x14ac:dyDescent="0.2">
      <c r="A7" s="2" t="s">
        <v>7</v>
      </c>
      <c r="B7" s="3">
        <v>3107</v>
      </c>
      <c r="C7" s="12">
        <f>GovByCongressionalDistrict1General[[#This Row],[Part of Suffolk County Vote Results]]</f>
        <v>3107</v>
      </c>
      <c r="D7" s="14"/>
    </row>
    <row r="8" spans="1:4" x14ac:dyDescent="0.2">
      <c r="A8" s="2" t="s">
        <v>8</v>
      </c>
      <c r="B8" s="3">
        <v>3323</v>
      </c>
      <c r="C8" s="12">
        <f>GovByCongressionalDistrict1General[[#This Row],[Part of Suffolk County Vote Results]]</f>
        <v>3323</v>
      </c>
      <c r="D8" s="14"/>
    </row>
    <row r="9" spans="1:4" x14ac:dyDescent="0.2">
      <c r="A9" s="2" t="s">
        <v>9</v>
      </c>
      <c r="B9" s="3">
        <v>1499</v>
      </c>
      <c r="C9" s="12">
        <f>GovByCongressionalDistrict1General[[#This Row],[Part of Suffolk County Vote Results]]</f>
        <v>1499</v>
      </c>
      <c r="D9" s="14"/>
    </row>
    <row r="10" spans="1:4" x14ac:dyDescent="0.2">
      <c r="A10" s="2" t="s">
        <v>16</v>
      </c>
      <c r="B10" s="3">
        <v>870</v>
      </c>
      <c r="C10" s="12">
        <f>GovByCongressionalDistrict1General[[#This Row],[Part of Suffolk County Vote Results]]</f>
        <v>870</v>
      </c>
      <c r="D10" s="14"/>
    </row>
    <row r="11" spans="1:4" x14ac:dyDescent="0.2">
      <c r="A11" s="2" t="s">
        <v>10</v>
      </c>
      <c r="B11" s="3">
        <v>2337</v>
      </c>
      <c r="C11" s="12">
        <f>GovByCongressionalDistrict1General[[#This Row],[Part of Suffolk County Vote Results]]</f>
        <v>2337</v>
      </c>
      <c r="D11" s="13">
        <f>GovByCongressionalDistrict1General[[#This Row],[Total Votes by Party]]</f>
        <v>2337</v>
      </c>
    </row>
    <row r="12" spans="1:4" x14ac:dyDescent="0.2">
      <c r="A12" s="4" t="s">
        <v>11</v>
      </c>
      <c r="B12" s="5">
        <v>1376</v>
      </c>
      <c r="C12" s="12">
        <f>GovByCongressionalDistrict1General[[#This Row],[Part of Suffolk County Vote Results]]</f>
        <v>1376</v>
      </c>
      <c r="D12" s="13">
        <f>GovByCongressionalDistrict1General[[#This Row],[Total Votes by Party]]</f>
        <v>1376</v>
      </c>
    </row>
    <row r="13" spans="1:4" x14ac:dyDescent="0.2">
      <c r="A13" s="4" t="s">
        <v>0</v>
      </c>
      <c r="B13" s="5">
        <v>4213</v>
      </c>
      <c r="C13" s="12">
        <f>GovByCongressionalDistrict1General[[#This Row],[Part of Suffolk County Vote Results]]</f>
        <v>4213</v>
      </c>
      <c r="D13" s="14"/>
    </row>
    <row r="14" spans="1:4" x14ac:dyDescent="0.2">
      <c r="A14" s="4" t="s">
        <v>1</v>
      </c>
      <c r="B14" s="5">
        <v>247</v>
      </c>
      <c r="C14" s="12">
        <f>GovByCongressionalDistrict1General[[#This Row],[Part of Suffolk County Vote Results]]</f>
        <v>247</v>
      </c>
      <c r="D14" s="14"/>
    </row>
    <row r="15" spans="1:4" x14ac:dyDescent="0.2">
      <c r="A15" s="4" t="s">
        <v>2</v>
      </c>
      <c r="B15" s="5">
        <v>75</v>
      </c>
      <c r="C15" s="12">
        <f>GovByCongressionalDistrict1General[[#This Row],[Part of Suffolk County Vote Results]]</f>
        <v>75</v>
      </c>
      <c r="D15" s="14"/>
    </row>
    <row r="16" spans="1:4" hidden="1" x14ac:dyDescent="0.2">
      <c r="A16" s="4" t="s">
        <v>4</v>
      </c>
      <c r="B16" s="6">
        <f>SUBTOTAL(109,GovByCongressionalDistrict1General[Total Votes by Candidate])</f>
        <v>269374</v>
      </c>
      <c r="C16" s="6"/>
      <c r="D16" s="9"/>
    </row>
  </sheetData>
  <printOptions horizontalCentered="1"/>
  <pageMargins left="0" right="0" top="0.25" bottom="0.25" header="0.25" footer="0.25"/>
  <pageSetup paperSize="5" scale="80" orientation="landscape" r:id="rId1"/>
  <headerFooter alignWithMargins="0">
    <oddFooter>&amp;RPage &amp;P of &amp;N</oddFooter>
  </headerFooter>
  <rowBreaks count="6" manualBreakCount="6">
    <brk id="55" max="12" man="1"/>
    <brk id="107" max="16383" man="1"/>
    <brk id="161" max="16383" man="1"/>
    <brk id="196" max="16383" man="1"/>
    <brk id="251" max="16383" man="1"/>
    <brk id="301" max="16383" man="1"/>
  </rowBreaks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944E0-34FA-4A78-A0F2-7CD762634A14}">
  <dimension ref="A1:E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75" customHeight="1" x14ac:dyDescent="0.2">
      <c r="A1" s="1" t="s">
        <v>61</v>
      </c>
    </row>
    <row r="2" spans="1:5" ht="25.5" x14ac:dyDescent="0.2">
      <c r="A2" s="7" t="s">
        <v>12</v>
      </c>
      <c r="B2" s="8" t="s">
        <v>19</v>
      </c>
      <c r="C2" s="8" t="s">
        <v>20</v>
      </c>
      <c r="D2" s="10" t="s">
        <v>105</v>
      </c>
      <c r="E2" s="11" t="s">
        <v>5</v>
      </c>
    </row>
    <row r="3" spans="1:5" x14ac:dyDescent="0.2">
      <c r="A3" s="2" t="s">
        <v>3</v>
      </c>
      <c r="B3" s="16">
        <v>23313</v>
      </c>
      <c r="C3" s="16">
        <v>131699</v>
      </c>
      <c r="D3" s="12">
        <f>SUM(GovByCongressionalDistrict10General[[#This Row],[Part of Kings County Vote Results]:[Part of New York County Vote Results]])</f>
        <v>155012</v>
      </c>
      <c r="E3" s="13">
        <f>SUM(D3,D7,D8,D9)</f>
        <v>166847</v>
      </c>
    </row>
    <row r="4" spans="1:5" x14ac:dyDescent="0.2">
      <c r="A4" s="2" t="s">
        <v>14</v>
      </c>
      <c r="B4" s="16">
        <v>15419</v>
      </c>
      <c r="C4" s="16">
        <v>15026</v>
      </c>
      <c r="D4" s="12">
        <f>SUM(GovByCongressionalDistrict10General[[#This Row],[Part of Kings County Vote Results]:[Part of New York County Vote Results]])</f>
        <v>30445</v>
      </c>
      <c r="E4" s="13">
        <f>SUM(D4,D5,D10)</f>
        <v>33559</v>
      </c>
    </row>
    <row r="5" spans="1:5" x14ac:dyDescent="0.2">
      <c r="A5" s="2" t="s">
        <v>15</v>
      </c>
      <c r="B5" s="16">
        <v>1666</v>
      </c>
      <c r="C5" s="16">
        <v>1145</v>
      </c>
      <c r="D5" s="12">
        <f>SUM(GovByCongressionalDistrict10General[[#This Row],[Part of Kings County Vote Results]:[Part of New York County Vote Results]])</f>
        <v>2811</v>
      </c>
      <c r="E5" s="14"/>
    </row>
    <row r="6" spans="1:5" x14ac:dyDescent="0.2">
      <c r="A6" s="2" t="s">
        <v>6</v>
      </c>
      <c r="B6" s="16">
        <v>903</v>
      </c>
      <c r="C6" s="16">
        <v>4025</v>
      </c>
      <c r="D6" s="12">
        <f>SUM(GovByCongressionalDistrict10General[[#This Row],[Part of Kings County Vote Results]:[Part of New York County Vote Results]])</f>
        <v>4928</v>
      </c>
      <c r="E6" s="13">
        <f>GovByCongressionalDistrict10General[[#This Row],[Total Votes by Party]]</f>
        <v>4928</v>
      </c>
    </row>
    <row r="7" spans="1:5" x14ac:dyDescent="0.2">
      <c r="A7" s="2" t="s">
        <v>7</v>
      </c>
      <c r="B7" s="16">
        <v>1270</v>
      </c>
      <c r="C7" s="16">
        <v>7398</v>
      </c>
      <c r="D7" s="12">
        <f>SUM(GovByCongressionalDistrict10General[[#This Row],[Part of Kings County Vote Results]:[Part of New York County Vote Results]])</f>
        <v>8668</v>
      </c>
      <c r="E7" s="14"/>
    </row>
    <row r="8" spans="1:5" x14ac:dyDescent="0.2">
      <c r="A8" s="2" t="s">
        <v>8</v>
      </c>
      <c r="B8" s="16">
        <v>536</v>
      </c>
      <c r="C8" s="16">
        <v>1930</v>
      </c>
      <c r="D8" s="12">
        <f>SUM(GovByCongressionalDistrict10General[[#This Row],[Part of Kings County Vote Results]:[Part of New York County Vote Results]])</f>
        <v>2466</v>
      </c>
      <c r="E8" s="14"/>
    </row>
    <row r="9" spans="1:5" x14ac:dyDescent="0.2">
      <c r="A9" s="2" t="s">
        <v>9</v>
      </c>
      <c r="B9" s="16">
        <v>108</v>
      </c>
      <c r="C9" s="16">
        <v>593</v>
      </c>
      <c r="D9" s="12">
        <f>SUM(GovByCongressionalDistrict10General[[#This Row],[Part of Kings County Vote Results]:[Part of New York County Vote Results]])</f>
        <v>701</v>
      </c>
      <c r="E9" s="14"/>
    </row>
    <row r="10" spans="1:5" x14ac:dyDescent="0.2">
      <c r="A10" s="2" t="s">
        <v>16</v>
      </c>
      <c r="B10" s="16">
        <v>122</v>
      </c>
      <c r="C10" s="16">
        <v>181</v>
      </c>
      <c r="D10" s="12">
        <f>SUM(GovByCongressionalDistrict10General[[#This Row],[Part of Kings County Vote Results]:[Part of New York County Vote Results]])</f>
        <v>303</v>
      </c>
      <c r="E10" s="14"/>
    </row>
    <row r="11" spans="1:5" x14ac:dyDescent="0.2">
      <c r="A11" s="2" t="s">
        <v>10</v>
      </c>
      <c r="B11" s="16">
        <v>271</v>
      </c>
      <c r="C11" s="16">
        <v>1167</v>
      </c>
      <c r="D11" s="12">
        <f>SUM(GovByCongressionalDistrict10General[[#This Row],[Part of Kings County Vote Results]:[Part of New York County Vote Results]])</f>
        <v>1438</v>
      </c>
      <c r="E11" s="13">
        <f>GovByCongressionalDistrict10General[[#This Row],[Total Votes by Party]]</f>
        <v>1438</v>
      </c>
    </row>
    <row r="12" spans="1:5" x14ac:dyDescent="0.2">
      <c r="A12" s="4" t="s">
        <v>11</v>
      </c>
      <c r="B12" s="16">
        <v>171</v>
      </c>
      <c r="C12" s="16">
        <v>1416</v>
      </c>
      <c r="D12" s="12">
        <f>SUM(GovByCongressionalDistrict10General[[#This Row],[Part of Kings County Vote Results]:[Part of New York County Vote Results]])</f>
        <v>1587</v>
      </c>
      <c r="E12" s="13">
        <f>GovByCongressionalDistrict10General[[#This Row],[Total Votes by Party]]</f>
        <v>1587</v>
      </c>
    </row>
    <row r="13" spans="1:5" x14ac:dyDescent="0.2">
      <c r="A13" s="4" t="s">
        <v>0</v>
      </c>
      <c r="B13" s="16">
        <v>1552</v>
      </c>
      <c r="C13" s="16">
        <v>1966</v>
      </c>
      <c r="D13" s="12">
        <f>SUM(GovByCongressionalDistrict10General[[#This Row],[Part of Kings County Vote Results]:[Part of New York County Vote Results]])</f>
        <v>3518</v>
      </c>
      <c r="E13" s="14"/>
    </row>
    <row r="14" spans="1:5" x14ac:dyDescent="0.2">
      <c r="A14" s="4" t="s">
        <v>1</v>
      </c>
      <c r="B14" s="16">
        <v>0</v>
      </c>
      <c r="C14" s="16">
        <v>0</v>
      </c>
      <c r="D14" s="12">
        <f>SUM(GovByCongressionalDistrict10General[[#This Row],[Part of Kings County Vote Results]:[Part of New York County Vote Results]])</f>
        <v>0</v>
      </c>
      <c r="E14" s="14"/>
    </row>
    <row r="15" spans="1:5" x14ac:dyDescent="0.2">
      <c r="A15" s="4" t="s">
        <v>2</v>
      </c>
      <c r="B15" s="5">
        <v>119</v>
      </c>
      <c r="C15" s="5">
        <v>520</v>
      </c>
      <c r="D15" s="12">
        <f>SUM(GovByCongressionalDistrict10General[[#This Row],[Part of Kings County Vote Results]:[Part of New York County Vote Results]])</f>
        <v>639</v>
      </c>
      <c r="E15" s="14"/>
    </row>
    <row r="16" spans="1:5" hidden="1" x14ac:dyDescent="0.2">
      <c r="A16" s="4" t="s">
        <v>4</v>
      </c>
      <c r="B16" s="6">
        <f>SUBTOTAL(109,GovByCongressionalDistrict10General[Part of Kings County Vote Results])</f>
        <v>45450</v>
      </c>
      <c r="C16" s="6">
        <f>SUBTOTAL(109,GovByCongressionalDistrict10General[Part of New York County Vote Results])</f>
        <v>167066</v>
      </c>
      <c r="D16" s="6"/>
      <c r="E16" s="9"/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0FCB5-6A89-43CE-9C33-A3516F1DDC98}">
  <dimension ref="A1:E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75" customHeight="1" x14ac:dyDescent="0.2">
      <c r="A1" s="1" t="s">
        <v>62</v>
      </c>
    </row>
    <row r="2" spans="1:5" ht="25.5" x14ac:dyDescent="0.2">
      <c r="A2" s="7" t="s">
        <v>12</v>
      </c>
      <c r="B2" s="8" t="s">
        <v>63</v>
      </c>
      <c r="C2" s="8" t="s">
        <v>19</v>
      </c>
      <c r="D2" s="10" t="s">
        <v>105</v>
      </c>
      <c r="E2" s="11" t="s">
        <v>5</v>
      </c>
    </row>
    <row r="3" spans="1:5" x14ac:dyDescent="0.2">
      <c r="A3" s="2" t="s">
        <v>3</v>
      </c>
      <c r="B3" s="16">
        <v>65073</v>
      </c>
      <c r="C3" s="16">
        <v>29118</v>
      </c>
      <c r="D3" s="12">
        <f>SUM(GovByCongressionalDistrict11General[[#This Row],[Richmond County Vote Results]:[Part of Kings County Vote Results]])</f>
        <v>94191</v>
      </c>
      <c r="E3" s="13">
        <f>SUM(D3,D7,D8,D9)</f>
        <v>99994</v>
      </c>
    </row>
    <row r="4" spans="1:5" x14ac:dyDescent="0.2">
      <c r="A4" s="2" t="s">
        <v>14</v>
      </c>
      <c r="B4" s="16">
        <v>60686</v>
      </c>
      <c r="C4" s="16">
        <v>18272</v>
      </c>
      <c r="D4" s="12">
        <f>SUM(GovByCongressionalDistrict11General[[#This Row],[Richmond County Vote Results]:[Part of Kings County Vote Results]])</f>
        <v>78958</v>
      </c>
      <c r="E4" s="13">
        <f>SUM(D4,D5,D10)</f>
        <v>87213</v>
      </c>
    </row>
    <row r="5" spans="1:5" x14ac:dyDescent="0.2">
      <c r="A5" s="2" t="s">
        <v>15</v>
      </c>
      <c r="B5" s="16">
        <v>5952</v>
      </c>
      <c r="C5" s="16">
        <v>1738</v>
      </c>
      <c r="D5" s="12">
        <f>SUM(GovByCongressionalDistrict11General[[#This Row],[Richmond County Vote Results]:[Part of Kings County Vote Results]])</f>
        <v>7690</v>
      </c>
      <c r="E5" s="14"/>
    </row>
    <row r="6" spans="1:5" x14ac:dyDescent="0.2">
      <c r="A6" s="2" t="s">
        <v>6</v>
      </c>
      <c r="B6" s="16">
        <v>1249</v>
      </c>
      <c r="C6" s="16">
        <v>943</v>
      </c>
      <c r="D6" s="12">
        <f>SUM(GovByCongressionalDistrict11General[[#This Row],[Richmond County Vote Results]:[Part of Kings County Vote Results]])</f>
        <v>2192</v>
      </c>
      <c r="E6" s="13">
        <f>GovByCongressionalDistrict11General[[#This Row],[Total Votes by Party]]</f>
        <v>2192</v>
      </c>
    </row>
    <row r="7" spans="1:5" x14ac:dyDescent="0.2">
      <c r="A7" s="2" t="s">
        <v>7</v>
      </c>
      <c r="B7" s="16">
        <v>1840</v>
      </c>
      <c r="C7" s="16">
        <v>1055</v>
      </c>
      <c r="D7" s="12">
        <f>SUM(GovByCongressionalDistrict11General[[#This Row],[Richmond County Vote Results]:[Part of Kings County Vote Results]])</f>
        <v>2895</v>
      </c>
      <c r="E7" s="14"/>
    </row>
    <row r="8" spans="1:5" x14ac:dyDescent="0.2">
      <c r="A8" s="2" t="s">
        <v>8</v>
      </c>
      <c r="B8" s="16">
        <v>1850</v>
      </c>
      <c r="C8" s="16">
        <v>568</v>
      </c>
      <c r="D8" s="12">
        <f>SUM(GovByCongressionalDistrict11General[[#This Row],[Richmond County Vote Results]:[Part of Kings County Vote Results]])</f>
        <v>2418</v>
      </c>
      <c r="E8" s="14"/>
    </row>
    <row r="9" spans="1:5" x14ac:dyDescent="0.2">
      <c r="A9" s="2" t="s">
        <v>9</v>
      </c>
      <c r="B9" s="16">
        <v>353</v>
      </c>
      <c r="C9" s="16">
        <v>137</v>
      </c>
      <c r="D9" s="12">
        <f>SUM(GovByCongressionalDistrict11General[[#This Row],[Richmond County Vote Results]:[Part of Kings County Vote Results]])</f>
        <v>490</v>
      </c>
      <c r="E9" s="14"/>
    </row>
    <row r="10" spans="1:5" x14ac:dyDescent="0.2">
      <c r="A10" s="2" t="s">
        <v>16</v>
      </c>
      <c r="B10" s="16">
        <v>425</v>
      </c>
      <c r="C10" s="16">
        <v>140</v>
      </c>
      <c r="D10" s="12">
        <f>SUM(GovByCongressionalDistrict11General[[#This Row],[Richmond County Vote Results]:[Part of Kings County Vote Results]])</f>
        <v>565</v>
      </c>
      <c r="E10" s="14"/>
    </row>
    <row r="11" spans="1:5" x14ac:dyDescent="0.2">
      <c r="A11" s="2" t="s">
        <v>10</v>
      </c>
      <c r="B11" s="16">
        <v>1070</v>
      </c>
      <c r="C11" s="16">
        <v>406</v>
      </c>
      <c r="D11" s="12">
        <f>SUM(GovByCongressionalDistrict11General[[#This Row],[Richmond County Vote Results]:[Part of Kings County Vote Results]])</f>
        <v>1476</v>
      </c>
      <c r="E11" s="13">
        <f>GovByCongressionalDistrict11General[[#This Row],[Total Votes by Party]]</f>
        <v>1476</v>
      </c>
    </row>
    <row r="12" spans="1:5" x14ac:dyDescent="0.2">
      <c r="A12" s="4" t="s">
        <v>11</v>
      </c>
      <c r="B12" s="16">
        <v>292</v>
      </c>
      <c r="C12" s="16">
        <v>241</v>
      </c>
      <c r="D12" s="12">
        <f>SUM(GovByCongressionalDistrict11General[[#This Row],[Richmond County Vote Results]:[Part of Kings County Vote Results]])</f>
        <v>533</v>
      </c>
      <c r="E12" s="13">
        <f>GovByCongressionalDistrict11General[[#This Row],[Total Votes by Party]]</f>
        <v>533</v>
      </c>
    </row>
    <row r="13" spans="1:5" x14ac:dyDescent="0.2">
      <c r="A13" s="4" t="s">
        <v>0</v>
      </c>
      <c r="B13" s="16">
        <v>1632</v>
      </c>
      <c r="C13" s="16">
        <v>1324</v>
      </c>
      <c r="D13" s="12">
        <f>SUM(GovByCongressionalDistrict11General[[#This Row],[Richmond County Vote Results]:[Part of Kings County Vote Results]])</f>
        <v>2956</v>
      </c>
      <c r="E13" s="14"/>
    </row>
    <row r="14" spans="1:5" x14ac:dyDescent="0.2">
      <c r="A14" s="4" t="s">
        <v>1</v>
      </c>
      <c r="B14" s="16">
        <v>0</v>
      </c>
      <c r="C14" s="16">
        <v>0</v>
      </c>
      <c r="D14" s="12">
        <f>SUM(GovByCongressionalDistrict11General[[#This Row],[Richmond County Vote Results]:[Part of Kings County Vote Results]])</f>
        <v>0</v>
      </c>
      <c r="E14" s="14"/>
    </row>
    <row r="15" spans="1:5" x14ac:dyDescent="0.2">
      <c r="A15" s="4" t="s">
        <v>2</v>
      </c>
      <c r="B15" s="5">
        <v>96</v>
      </c>
      <c r="C15" s="5">
        <v>93</v>
      </c>
      <c r="D15" s="12">
        <f>SUM(GovByCongressionalDistrict11General[[#This Row],[Richmond County Vote Results]:[Part of Kings County Vote Results]])</f>
        <v>189</v>
      </c>
      <c r="E15" s="14"/>
    </row>
    <row r="16" spans="1:5" hidden="1" x14ac:dyDescent="0.2">
      <c r="A16" s="4" t="s">
        <v>4</v>
      </c>
      <c r="B16" s="6">
        <f>SUBTOTAL(109,GovByCongressionalDistrict11General[Richmond County Vote Results])</f>
        <v>140518</v>
      </c>
      <c r="C16" s="6">
        <f>SUBTOTAL(109,GovByCongressionalDistrict11General[Part of Kings County Vote Results])</f>
        <v>54035</v>
      </c>
      <c r="D16" s="6"/>
      <c r="E16" s="9"/>
    </row>
  </sheetData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4D7C3-95BB-4924-B77E-2A051C6FCE76}">
  <dimension ref="A1:F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ht="24.75" customHeight="1" x14ac:dyDescent="0.2">
      <c r="A1" s="1" t="s">
        <v>64</v>
      </c>
    </row>
    <row r="2" spans="1:6" ht="25.5" x14ac:dyDescent="0.2">
      <c r="A2" s="7" t="s">
        <v>12</v>
      </c>
      <c r="B2" s="8" t="s">
        <v>19</v>
      </c>
      <c r="C2" s="8" t="s">
        <v>20</v>
      </c>
      <c r="D2" s="8" t="s">
        <v>18</v>
      </c>
      <c r="E2" s="10" t="s">
        <v>105</v>
      </c>
      <c r="F2" s="11" t="s">
        <v>5</v>
      </c>
    </row>
    <row r="3" spans="1:6" x14ac:dyDescent="0.2">
      <c r="A3" s="2" t="s">
        <v>3</v>
      </c>
      <c r="B3" s="16">
        <v>18950</v>
      </c>
      <c r="C3" s="16">
        <v>144787</v>
      </c>
      <c r="D3" s="16">
        <v>28358</v>
      </c>
      <c r="E3" s="12">
        <f>SUM(GovByCongressionalDistrict12General[[#This Row],[Part of Kings County Vote Results]:[Part of Queens County Vote Results]])</f>
        <v>192095</v>
      </c>
      <c r="F3" s="13">
        <f>SUM(E3,E7,E8,E9)</f>
        <v>204784</v>
      </c>
    </row>
    <row r="4" spans="1:6" x14ac:dyDescent="0.2">
      <c r="A4" s="2" t="s">
        <v>14</v>
      </c>
      <c r="B4" s="16">
        <v>1635</v>
      </c>
      <c r="C4" s="16">
        <v>25453</v>
      </c>
      <c r="D4" s="16">
        <v>3351</v>
      </c>
      <c r="E4" s="12">
        <f>SUM(GovByCongressionalDistrict12General[[#This Row],[Part of Kings County Vote Results]:[Part of Queens County Vote Results]])</f>
        <v>30439</v>
      </c>
      <c r="F4" s="13">
        <f>SUM(E4,E5,E10)</f>
        <v>32948</v>
      </c>
    </row>
    <row r="5" spans="1:6" x14ac:dyDescent="0.2">
      <c r="A5" s="2" t="s">
        <v>15</v>
      </c>
      <c r="B5" s="16">
        <v>161</v>
      </c>
      <c r="C5" s="16">
        <v>1731</v>
      </c>
      <c r="D5" s="16">
        <v>302</v>
      </c>
      <c r="E5" s="12">
        <f>SUM(GovByCongressionalDistrict12General[[#This Row],[Part of Kings County Vote Results]:[Part of Queens County Vote Results]])</f>
        <v>2194</v>
      </c>
      <c r="F5" s="14"/>
    </row>
    <row r="6" spans="1:6" x14ac:dyDescent="0.2">
      <c r="A6" s="2" t="s">
        <v>6</v>
      </c>
      <c r="B6" s="16">
        <v>1299</v>
      </c>
      <c r="C6" s="16">
        <v>3910</v>
      </c>
      <c r="D6" s="16">
        <v>1127</v>
      </c>
      <c r="E6" s="12">
        <f>SUM(GovByCongressionalDistrict12General[[#This Row],[Part of Kings County Vote Results]:[Part of Queens County Vote Results]])</f>
        <v>6336</v>
      </c>
      <c r="F6" s="13">
        <f>GovByCongressionalDistrict12General[[#This Row],[Total Votes by Party]]</f>
        <v>6336</v>
      </c>
    </row>
    <row r="7" spans="1:6" x14ac:dyDescent="0.2">
      <c r="A7" s="2" t="s">
        <v>7</v>
      </c>
      <c r="B7" s="16">
        <v>1927</v>
      </c>
      <c r="C7" s="16">
        <v>5325</v>
      </c>
      <c r="D7" s="16">
        <v>1461</v>
      </c>
      <c r="E7" s="12">
        <f>SUM(GovByCongressionalDistrict12General[[#This Row],[Part of Kings County Vote Results]:[Part of Queens County Vote Results]])</f>
        <v>8713</v>
      </c>
      <c r="F7" s="14"/>
    </row>
    <row r="8" spans="1:6" x14ac:dyDescent="0.2">
      <c r="A8" s="2" t="s">
        <v>8</v>
      </c>
      <c r="B8" s="16">
        <v>235</v>
      </c>
      <c r="C8" s="16">
        <v>2342</v>
      </c>
      <c r="D8" s="16">
        <v>373</v>
      </c>
      <c r="E8" s="12">
        <f>SUM(GovByCongressionalDistrict12General[[#This Row],[Part of Kings County Vote Results]:[Part of Queens County Vote Results]])</f>
        <v>2950</v>
      </c>
      <c r="F8" s="14"/>
    </row>
    <row r="9" spans="1:6" x14ac:dyDescent="0.2">
      <c r="A9" s="2" t="s">
        <v>9</v>
      </c>
      <c r="B9" s="16">
        <v>149</v>
      </c>
      <c r="C9" s="16">
        <v>679</v>
      </c>
      <c r="D9" s="16">
        <v>198</v>
      </c>
      <c r="E9" s="12">
        <f>SUM(GovByCongressionalDistrict12General[[#This Row],[Part of Kings County Vote Results]:[Part of Queens County Vote Results]])</f>
        <v>1026</v>
      </c>
      <c r="F9" s="14"/>
    </row>
    <row r="10" spans="1:6" x14ac:dyDescent="0.2">
      <c r="A10" s="2" t="s">
        <v>16</v>
      </c>
      <c r="B10" s="16">
        <v>23</v>
      </c>
      <c r="C10" s="16">
        <v>245</v>
      </c>
      <c r="D10" s="16">
        <v>47</v>
      </c>
      <c r="E10" s="12">
        <f>SUM(GovByCongressionalDistrict12General[[#This Row],[Part of Kings County Vote Results]:[Part of Queens County Vote Results]])</f>
        <v>315</v>
      </c>
      <c r="F10" s="14"/>
    </row>
    <row r="11" spans="1:6" x14ac:dyDescent="0.2">
      <c r="A11" s="2" t="s">
        <v>10</v>
      </c>
      <c r="B11" s="16">
        <v>250</v>
      </c>
      <c r="C11" s="16">
        <v>1334</v>
      </c>
      <c r="D11" s="16">
        <v>379</v>
      </c>
      <c r="E11" s="12">
        <f>SUM(GovByCongressionalDistrict12General[[#This Row],[Part of Kings County Vote Results]:[Part of Queens County Vote Results]])</f>
        <v>1963</v>
      </c>
      <c r="F11" s="13">
        <f>GovByCongressionalDistrict12General[[#This Row],[Total Votes by Party]]</f>
        <v>1963</v>
      </c>
    </row>
    <row r="12" spans="1:6" x14ac:dyDescent="0.2">
      <c r="A12" s="4" t="s">
        <v>11</v>
      </c>
      <c r="B12" s="16">
        <v>282</v>
      </c>
      <c r="C12" s="16">
        <v>2358</v>
      </c>
      <c r="D12" s="16">
        <v>310</v>
      </c>
      <c r="E12" s="12">
        <f>SUM(GovByCongressionalDistrict12General[[#This Row],[Part of Kings County Vote Results]:[Part of Queens County Vote Results]])</f>
        <v>2950</v>
      </c>
      <c r="F12" s="13">
        <f>GovByCongressionalDistrict12General[[#This Row],[Total Votes by Party]]</f>
        <v>2950</v>
      </c>
    </row>
    <row r="13" spans="1:6" x14ac:dyDescent="0.2">
      <c r="A13" s="4" t="s">
        <v>0</v>
      </c>
      <c r="B13" s="16">
        <v>274</v>
      </c>
      <c r="C13" s="16">
        <v>1329</v>
      </c>
      <c r="D13" s="16">
        <v>482</v>
      </c>
      <c r="E13" s="12">
        <f>SUM(GovByCongressionalDistrict12General[[#This Row],[Part of Kings County Vote Results]:[Part of Queens County Vote Results]])</f>
        <v>2085</v>
      </c>
      <c r="F13" s="14"/>
    </row>
    <row r="14" spans="1:6" x14ac:dyDescent="0.2">
      <c r="A14" s="4" t="s">
        <v>1</v>
      </c>
      <c r="B14" s="16">
        <v>0</v>
      </c>
      <c r="C14" s="16">
        <v>0</v>
      </c>
      <c r="D14" s="16">
        <v>0</v>
      </c>
      <c r="E14" s="12">
        <f>SUM(GovByCongressionalDistrict12General[[#This Row],[Part of Kings County Vote Results]:[Part of Queens County Vote Results]])</f>
        <v>0</v>
      </c>
      <c r="F14" s="14"/>
    </row>
    <row r="15" spans="1:6" x14ac:dyDescent="0.2">
      <c r="A15" s="4" t="s">
        <v>2</v>
      </c>
      <c r="B15" s="5">
        <v>144</v>
      </c>
      <c r="C15" s="5">
        <v>522</v>
      </c>
      <c r="D15" s="5">
        <v>134</v>
      </c>
      <c r="E15" s="12">
        <f>SUM(GovByCongressionalDistrict12General[[#This Row],[Part of Kings County Vote Results]:[Part of Queens County Vote Results]])</f>
        <v>800</v>
      </c>
      <c r="F15" s="14"/>
    </row>
    <row r="16" spans="1:6" hidden="1" x14ac:dyDescent="0.2">
      <c r="A16" s="4" t="s">
        <v>4</v>
      </c>
      <c r="B16" s="6">
        <f>SUBTOTAL(109,GovByCongressionalDistrict12General[Part of Kings County Vote Results])</f>
        <v>25329</v>
      </c>
      <c r="C16" s="6"/>
      <c r="D16" s="6">
        <f>SUBTOTAL(109,GovByCongressionalDistrict12General[Part of Queens County Vote Results])</f>
        <v>36522</v>
      </c>
      <c r="E16" s="6"/>
      <c r="F16" s="9"/>
    </row>
  </sheetData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CFA10-67CC-4D98-BBE0-CFB65A941982}">
  <dimension ref="A1:E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75" customHeight="1" x14ac:dyDescent="0.2">
      <c r="A1" s="1" t="s">
        <v>65</v>
      </c>
    </row>
    <row r="2" spans="1:5" ht="25.5" x14ac:dyDescent="0.2">
      <c r="A2" s="7" t="s">
        <v>12</v>
      </c>
      <c r="B2" s="8" t="s">
        <v>21</v>
      </c>
      <c r="C2" s="8" t="s">
        <v>20</v>
      </c>
      <c r="D2" s="10" t="s">
        <v>105</v>
      </c>
      <c r="E2" s="11" t="s">
        <v>5</v>
      </c>
    </row>
    <row r="3" spans="1:5" x14ac:dyDescent="0.2">
      <c r="A3" s="2" t="s">
        <v>3</v>
      </c>
      <c r="B3" s="16">
        <v>30406</v>
      </c>
      <c r="C3" s="16">
        <v>139557</v>
      </c>
      <c r="D3" s="12">
        <f>SUM(GovByCongressionalDistrict13General[[#This Row],[Part of Bronx County Vote Results]:[Part of New York County Vote Results]])</f>
        <v>169963</v>
      </c>
      <c r="E3" s="13">
        <f>SUM(D3,D7,D8,D9)</f>
        <v>178562</v>
      </c>
    </row>
    <row r="4" spans="1:5" x14ac:dyDescent="0.2">
      <c r="A4" s="2" t="s">
        <v>14</v>
      </c>
      <c r="B4" s="16">
        <v>1956</v>
      </c>
      <c r="C4" s="16">
        <v>5859</v>
      </c>
      <c r="D4" s="12">
        <f>SUM(GovByCongressionalDistrict13General[[#This Row],[Part of Bronx County Vote Results]:[Part of New York County Vote Results]])</f>
        <v>7815</v>
      </c>
      <c r="E4" s="13">
        <f>SUM(D4,D5,D10)</f>
        <v>8796</v>
      </c>
    </row>
    <row r="5" spans="1:5" x14ac:dyDescent="0.2">
      <c r="A5" s="2" t="s">
        <v>15</v>
      </c>
      <c r="B5" s="16">
        <v>227</v>
      </c>
      <c r="C5" s="16">
        <v>577</v>
      </c>
      <c r="D5" s="12">
        <f>SUM(GovByCongressionalDistrict13General[[#This Row],[Part of Bronx County Vote Results]:[Part of New York County Vote Results]])</f>
        <v>804</v>
      </c>
      <c r="E5" s="14"/>
    </row>
    <row r="6" spans="1:5" x14ac:dyDescent="0.2">
      <c r="A6" s="2" t="s">
        <v>6</v>
      </c>
      <c r="B6" s="16">
        <v>456</v>
      </c>
      <c r="C6" s="16">
        <v>3712</v>
      </c>
      <c r="D6" s="12">
        <f>SUM(GovByCongressionalDistrict13General[[#This Row],[Part of Bronx County Vote Results]:[Part of New York County Vote Results]])</f>
        <v>4168</v>
      </c>
      <c r="E6" s="13">
        <f>GovByCongressionalDistrict13General[[#This Row],[Total Votes by Party]]</f>
        <v>4168</v>
      </c>
    </row>
    <row r="7" spans="1:5" x14ac:dyDescent="0.2">
      <c r="A7" s="2" t="s">
        <v>7</v>
      </c>
      <c r="B7" s="16">
        <v>616</v>
      </c>
      <c r="C7" s="16">
        <v>5582</v>
      </c>
      <c r="D7" s="12">
        <f>SUM(GovByCongressionalDistrict13General[[#This Row],[Part of Bronx County Vote Results]:[Part of New York County Vote Results]])</f>
        <v>6198</v>
      </c>
      <c r="E7" s="14"/>
    </row>
    <row r="8" spans="1:5" x14ac:dyDescent="0.2">
      <c r="A8" s="2" t="s">
        <v>8</v>
      </c>
      <c r="B8" s="16">
        <v>250</v>
      </c>
      <c r="C8" s="16">
        <v>1534</v>
      </c>
      <c r="D8" s="12">
        <f>SUM(GovByCongressionalDistrict13General[[#This Row],[Part of Bronx County Vote Results]:[Part of New York County Vote Results]])</f>
        <v>1784</v>
      </c>
      <c r="E8" s="14"/>
    </row>
    <row r="9" spans="1:5" x14ac:dyDescent="0.2">
      <c r="A9" s="2" t="s">
        <v>9</v>
      </c>
      <c r="B9" s="16">
        <v>81</v>
      </c>
      <c r="C9" s="16">
        <v>536</v>
      </c>
      <c r="D9" s="12">
        <f>SUM(GovByCongressionalDistrict13General[[#This Row],[Part of Bronx County Vote Results]:[Part of New York County Vote Results]])</f>
        <v>617</v>
      </c>
      <c r="E9" s="14"/>
    </row>
    <row r="10" spans="1:5" x14ac:dyDescent="0.2">
      <c r="A10" s="2" t="s">
        <v>16</v>
      </c>
      <c r="B10" s="16">
        <v>35</v>
      </c>
      <c r="C10" s="16">
        <v>142</v>
      </c>
      <c r="D10" s="12">
        <f>SUM(GovByCongressionalDistrict13General[[#This Row],[Part of Bronx County Vote Results]:[Part of New York County Vote Results]])</f>
        <v>177</v>
      </c>
      <c r="E10" s="14"/>
    </row>
    <row r="11" spans="1:5" x14ac:dyDescent="0.2">
      <c r="A11" s="2" t="s">
        <v>10</v>
      </c>
      <c r="B11" s="16">
        <v>129</v>
      </c>
      <c r="C11" s="16">
        <v>834</v>
      </c>
      <c r="D11" s="12">
        <f>SUM(GovByCongressionalDistrict13General[[#This Row],[Part of Bronx County Vote Results]:[Part of New York County Vote Results]])</f>
        <v>963</v>
      </c>
      <c r="E11" s="13">
        <f>GovByCongressionalDistrict13General[[#This Row],[Total Votes by Party]]</f>
        <v>963</v>
      </c>
    </row>
    <row r="12" spans="1:5" x14ac:dyDescent="0.2">
      <c r="A12" s="4" t="s">
        <v>11</v>
      </c>
      <c r="B12" s="16">
        <v>75</v>
      </c>
      <c r="C12" s="16">
        <v>874</v>
      </c>
      <c r="D12" s="12">
        <f>SUM(GovByCongressionalDistrict13General[[#This Row],[Part of Bronx County Vote Results]:[Part of New York County Vote Results]])</f>
        <v>949</v>
      </c>
      <c r="E12" s="13">
        <f>GovByCongressionalDistrict13General[[#This Row],[Total Votes by Party]]</f>
        <v>949</v>
      </c>
    </row>
    <row r="13" spans="1:5" x14ac:dyDescent="0.2">
      <c r="A13" s="4" t="s">
        <v>0</v>
      </c>
      <c r="B13" s="16">
        <v>584</v>
      </c>
      <c r="C13" s="16">
        <v>1790</v>
      </c>
      <c r="D13" s="12">
        <f>SUM(GovByCongressionalDistrict13General[[#This Row],[Part of Bronx County Vote Results]:[Part of New York County Vote Results]])</f>
        <v>2374</v>
      </c>
      <c r="E13" s="14"/>
    </row>
    <row r="14" spans="1:5" x14ac:dyDescent="0.2">
      <c r="A14" s="4" t="s">
        <v>1</v>
      </c>
      <c r="B14" s="16">
        <v>0</v>
      </c>
      <c r="C14" s="16">
        <v>0</v>
      </c>
      <c r="D14" s="12">
        <f>SUM(GovByCongressionalDistrict13General[[#This Row],[Part of Bronx County Vote Results]:[Part of New York County Vote Results]])</f>
        <v>0</v>
      </c>
      <c r="E14" s="14"/>
    </row>
    <row r="15" spans="1:5" x14ac:dyDescent="0.2">
      <c r="A15" s="4" t="s">
        <v>2</v>
      </c>
      <c r="B15" s="5">
        <v>46</v>
      </c>
      <c r="C15" s="5">
        <v>460</v>
      </c>
      <c r="D15" s="12">
        <f>SUM(GovByCongressionalDistrict13General[[#This Row],[Part of Bronx County Vote Results]:[Part of New York County Vote Results]])</f>
        <v>506</v>
      </c>
      <c r="E15" s="14"/>
    </row>
    <row r="16" spans="1:5" hidden="1" x14ac:dyDescent="0.2">
      <c r="A16" s="4" t="s">
        <v>4</v>
      </c>
      <c r="B16" s="6">
        <f>SUBTOTAL(109,GovByCongressionalDistrict13General[Part of Bronx County Vote Results])</f>
        <v>34861</v>
      </c>
      <c r="C16" s="6">
        <f>SUBTOTAL(109,GovByCongressionalDistrict13General[Part of New York County Vote Results])</f>
        <v>161457</v>
      </c>
      <c r="D16" s="6"/>
      <c r="E16" s="9"/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EE3D6-A0FD-4FED-891A-62D0E008DFE3}">
  <dimension ref="A1:E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75" customHeight="1" x14ac:dyDescent="0.2">
      <c r="A1" s="1" t="s">
        <v>66</v>
      </c>
    </row>
    <row r="2" spans="1:5" ht="25.5" x14ac:dyDescent="0.2">
      <c r="A2" s="7" t="s">
        <v>12</v>
      </c>
      <c r="B2" s="8" t="s">
        <v>21</v>
      </c>
      <c r="C2" s="8" t="s">
        <v>18</v>
      </c>
      <c r="D2" s="10" t="s">
        <v>105</v>
      </c>
      <c r="E2" s="11" t="s">
        <v>5</v>
      </c>
    </row>
    <row r="3" spans="1:5" x14ac:dyDescent="0.2">
      <c r="A3" s="2" t="s">
        <v>3</v>
      </c>
      <c r="B3" s="16">
        <v>39041</v>
      </c>
      <c r="C3" s="16">
        <v>70411</v>
      </c>
      <c r="D3" s="12">
        <f>SUM(GovByCongressionalDistrict14General[[#This Row],[Part of Bronx County Vote Results]:[Part of Queens County Vote Results]])</f>
        <v>109452</v>
      </c>
      <c r="E3" s="13">
        <f>SUM(D3,D7,D8,D9)</f>
        <v>114830</v>
      </c>
    </row>
    <row r="4" spans="1:5" x14ac:dyDescent="0.2">
      <c r="A4" s="2" t="s">
        <v>14</v>
      </c>
      <c r="B4" s="16">
        <v>9121</v>
      </c>
      <c r="C4" s="16">
        <v>11979</v>
      </c>
      <c r="D4" s="12">
        <f>SUM(GovByCongressionalDistrict14General[[#This Row],[Part of Bronx County Vote Results]:[Part of Queens County Vote Results]])</f>
        <v>21100</v>
      </c>
      <c r="E4" s="13">
        <f>SUM(D4,D5,D10)</f>
        <v>23506</v>
      </c>
    </row>
    <row r="5" spans="1:5" x14ac:dyDescent="0.2">
      <c r="A5" s="2" t="s">
        <v>15</v>
      </c>
      <c r="B5" s="16">
        <v>1099</v>
      </c>
      <c r="C5" s="16">
        <v>1102</v>
      </c>
      <c r="D5" s="12">
        <f>SUM(GovByCongressionalDistrict14General[[#This Row],[Part of Bronx County Vote Results]:[Part of Queens County Vote Results]])</f>
        <v>2201</v>
      </c>
      <c r="E5" s="14"/>
    </row>
    <row r="6" spans="1:5" x14ac:dyDescent="0.2">
      <c r="A6" s="2" t="s">
        <v>6</v>
      </c>
      <c r="B6" s="16">
        <v>647</v>
      </c>
      <c r="C6" s="16">
        <v>2313</v>
      </c>
      <c r="D6" s="12">
        <f>SUM(GovByCongressionalDistrict14General[[#This Row],[Part of Bronx County Vote Results]:[Part of Queens County Vote Results]])</f>
        <v>2960</v>
      </c>
      <c r="E6" s="13">
        <f>GovByCongressionalDistrict14General[[#This Row],[Total Votes by Party]]</f>
        <v>2960</v>
      </c>
    </row>
    <row r="7" spans="1:5" x14ac:dyDescent="0.2">
      <c r="A7" s="2" t="s">
        <v>7</v>
      </c>
      <c r="B7" s="16">
        <v>796</v>
      </c>
      <c r="C7" s="16">
        <v>2679</v>
      </c>
      <c r="D7" s="12">
        <f>SUM(GovByCongressionalDistrict14General[[#This Row],[Part of Bronx County Vote Results]:[Part of Queens County Vote Results]])</f>
        <v>3475</v>
      </c>
      <c r="E7" s="14"/>
    </row>
    <row r="8" spans="1:5" x14ac:dyDescent="0.2">
      <c r="A8" s="2" t="s">
        <v>8</v>
      </c>
      <c r="B8" s="16">
        <v>503</v>
      </c>
      <c r="C8" s="16">
        <v>923</v>
      </c>
      <c r="D8" s="12">
        <f>SUM(GovByCongressionalDistrict14General[[#This Row],[Part of Bronx County Vote Results]:[Part of Queens County Vote Results]])</f>
        <v>1426</v>
      </c>
      <c r="E8" s="14"/>
    </row>
    <row r="9" spans="1:5" x14ac:dyDescent="0.2">
      <c r="A9" s="2" t="s">
        <v>9</v>
      </c>
      <c r="B9" s="16">
        <v>119</v>
      </c>
      <c r="C9" s="16">
        <v>358</v>
      </c>
      <c r="D9" s="12">
        <f>SUM(GovByCongressionalDistrict14General[[#This Row],[Part of Bronx County Vote Results]:[Part of Queens County Vote Results]])</f>
        <v>477</v>
      </c>
      <c r="E9" s="14"/>
    </row>
    <row r="10" spans="1:5" x14ac:dyDescent="0.2">
      <c r="A10" s="2" t="s">
        <v>16</v>
      </c>
      <c r="B10" s="16">
        <v>84</v>
      </c>
      <c r="C10" s="16">
        <v>121</v>
      </c>
      <c r="D10" s="12">
        <f>SUM(GovByCongressionalDistrict14General[[#This Row],[Part of Bronx County Vote Results]:[Part of Queens County Vote Results]])</f>
        <v>205</v>
      </c>
      <c r="E10" s="14"/>
    </row>
    <row r="11" spans="1:5" x14ac:dyDescent="0.2">
      <c r="A11" s="2" t="s">
        <v>10</v>
      </c>
      <c r="B11" s="16">
        <v>267</v>
      </c>
      <c r="C11" s="16">
        <v>632</v>
      </c>
      <c r="D11" s="12">
        <f>SUM(GovByCongressionalDistrict14General[[#This Row],[Part of Bronx County Vote Results]:[Part of Queens County Vote Results]])</f>
        <v>899</v>
      </c>
      <c r="E11" s="13">
        <f>GovByCongressionalDistrict14General[[#This Row],[Total Votes by Party]]</f>
        <v>899</v>
      </c>
    </row>
    <row r="12" spans="1:5" x14ac:dyDescent="0.2">
      <c r="A12" s="4" t="s">
        <v>11</v>
      </c>
      <c r="B12" s="16">
        <v>146</v>
      </c>
      <c r="C12" s="16">
        <v>546</v>
      </c>
      <c r="D12" s="12">
        <f>SUM(GovByCongressionalDistrict14General[[#This Row],[Part of Bronx County Vote Results]:[Part of Queens County Vote Results]])</f>
        <v>692</v>
      </c>
      <c r="E12" s="13">
        <f>GovByCongressionalDistrict14General[[#This Row],[Total Votes by Party]]</f>
        <v>692</v>
      </c>
    </row>
    <row r="13" spans="1:5" x14ac:dyDescent="0.2">
      <c r="A13" s="4" t="s">
        <v>0</v>
      </c>
      <c r="B13" s="16">
        <v>783</v>
      </c>
      <c r="C13" s="16">
        <v>1771</v>
      </c>
      <c r="D13" s="12">
        <f>SUM(GovByCongressionalDistrict14General[[#This Row],[Part of Bronx County Vote Results]:[Part of Queens County Vote Results]])</f>
        <v>2554</v>
      </c>
      <c r="E13" s="14"/>
    </row>
    <row r="14" spans="1:5" x14ac:dyDescent="0.2">
      <c r="A14" s="4" t="s">
        <v>1</v>
      </c>
      <c r="B14" s="16">
        <v>0</v>
      </c>
      <c r="C14" s="16">
        <v>0</v>
      </c>
      <c r="D14" s="12">
        <f>SUM(GovByCongressionalDistrict14General[[#This Row],[Part of Bronx County Vote Results]:[Part of Queens County Vote Results]])</f>
        <v>0</v>
      </c>
      <c r="E14" s="14"/>
    </row>
    <row r="15" spans="1:5" x14ac:dyDescent="0.2">
      <c r="A15" s="4" t="s">
        <v>2</v>
      </c>
      <c r="B15" s="5">
        <v>47</v>
      </c>
      <c r="C15" s="5">
        <v>201</v>
      </c>
      <c r="D15" s="12">
        <f>SUM(GovByCongressionalDistrict14General[[#This Row],[Part of Bronx County Vote Results]:[Part of Queens County Vote Results]])</f>
        <v>248</v>
      </c>
      <c r="E15" s="14"/>
    </row>
    <row r="16" spans="1:5" hidden="1" x14ac:dyDescent="0.2">
      <c r="A16" s="4" t="s">
        <v>4</v>
      </c>
      <c r="B16" s="6">
        <f>SUBTOTAL(109,GovByCongressionalDistrict14General[Part of Bronx County Vote Results])</f>
        <v>52653</v>
      </c>
      <c r="C16" s="6">
        <f>SUBTOTAL(109,GovByCongressionalDistrict14General[Part of Queens County Vote Results])</f>
        <v>93036</v>
      </c>
      <c r="D16" s="6"/>
      <c r="E16" s="9"/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41F68-87BA-427D-A9B2-A6C2F24C7285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67</v>
      </c>
    </row>
    <row r="2" spans="1:4" ht="24.95" customHeight="1" x14ac:dyDescent="0.2">
      <c r="A2" s="7" t="s">
        <v>12</v>
      </c>
      <c r="B2" s="8" t="s">
        <v>21</v>
      </c>
      <c r="C2" s="10" t="s">
        <v>105</v>
      </c>
      <c r="D2" s="11" t="s">
        <v>5</v>
      </c>
    </row>
    <row r="3" spans="1:4" x14ac:dyDescent="0.2">
      <c r="A3" s="2" t="s">
        <v>3</v>
      </c>
      <c r="B3" s="16">
        <v>122809</v>
      </c>
      <c r="C3" s="12">
        <f>GovByCongressionalDistrict15General[[#This Row],[Part of Bronx County Vote Results]]</f>
        <v>122809</v>
      </c>
      <c r="D3" s="13">
        <f>SUM(C3,C7,C8,C9)</f>
        <v>125320</v>
      </c>
    </row>
    <row r="4" spans="1:4" x14ac:dyDescent="0.2">
      <c r="A4" s="2" t="s">
        <v>14</v>
      </c>
      <c r="B4" s="16">
        <v>4643</v>
      </c>
      <c r="C4" s="12">
        <f>GovByCongressionalDistrict15General[[#This Row],[Part of Bronx County Vote Results]]</f>
        <v>4643</v>
      </c>
      <c r="D4" s="13">
        <f>SUM(C4,C5,C10)</f>
        <v>5187</v>
      </c>
    </row>
    <row r="5" spans="1:4" x14ac:dyDescent="0.2">
      <c r="A5" s="2" t="s">
        <v>15</v>
      </c>
      <c r="B5" s="16">
        <v>459</v>
      </c>
      <c r="C5" s="12">
        <f>GovByCongressionalDistrict15General[[#This Row],[Part of Bronx County Vote Results]]</f>
        <v>459</v>
      </c>
      <c r="D5" s="14"/>
    </row>
    <row r="6" spans="1:4" x14ac:dyDescent="0.2">
      <c r="A6" s="2" t="s">
        <v>6</v>
      </c>
      <c r="B6" s="16">
        <v>977</v>
      </c>
      <c r="C6" s="12">
        <f>GovByCongressionalDistrict15General[[#This Row],[Part of Bronx County Vote Results]]</f>
        <v>977</v>
      </c>
      <c r="D6" s="13">
        <f>GovByCongressionalDistrict15General[[#This Row],[Total Votes by Party]]</f>
        <v>977</v>
      </c>
    </row>
    <row r="7" spans="1:4" x14ac:dyDescent="0.2">
      <c r="A7" s="2" t="s">
        <v>7</v>
      </c>
      <c r="B7" s="16">
        <v>1501</v>
      </c>
      <c r="C7" s="12">
        <f>GovByCongressionalDistrict15General[[#This Row],[Part of Bronx County Vote Results]]</f>
        <v>1501</v>
      </c>
      <c r="D7" s="14"/>
    </row>
    <row r="8" spans="1:4" x14ac:dyDescent="0.2">
      <c r="A8" s="2" t="s">
        <v>8</v>
      </c>
      <c r="B8" s="16">
        <v>811</v>
      </c>
      <c r="C8" s="12">
        <f>GovByCongressionalDistrict15General[[#This Row],[Part of Bronx County Vote Results]]</f>
        <v>811</v>
      </c>
      <c r="D8" s="14"/>
    </row>
    <row r="9" spans="1:4" x14ac:dyDescent="0.2">
      <c r="A9" s="2" t="s">
        <v>9</v>
      </c>
      <c r="B9" s="16">
        <v>199</v>
      </c>
      <c r="C9" s="12">
        <f>GovByCongressionalDistrict15General[[#This Row],[Part of Bronx County Vote Results]]</f>
        <v>199</v>
      </c>
      <c r="D9" s="14"/>
    </row>
    <row r="10" spans="1:4" x14ac:dyDescent="0.2">
      <c r="A10" s="2" t="s">
        <v>16</v>
      </c>
      <c r="B10" s="16">
        <v>85</v>
      </c>
      <c r="C10" s="12">
        <f>GovByCongressionalDistrict15General[[#This Row],[Part of Bronx County Vote Results]]</f>
        <v>85</v>
      </c>
      <c r="D10" s="14"/>
    </row>
    <row r="11" spans="1:4" x14ac:dyDescent="0.2">
      <c r="A11" s="2" t="s">
        <v>10</v>
      </c>
      <c r="B11" s="16">
        <v>415</v>
      </c>
      <c r="C11" s="12">
        <f>GovByCongressionalDistrict15General[[#This Row],[Part of Bronx County Vote Results]]</f>
        <v>415</v>
      </c>
      <c r="D11" s="13">
        <f>GovByCongressionalDistrict15General[[#This Row],[Total Votes by Party]]</f>
        <v>415</v>
      </c>
    </row>
    <row r="12" spans="1:4" x14ac:dyDescent="0.2">
      <c r="A12" s="4" t="s">
        <v>11</v>
      </c>
      <c r="B12" s="16">
        <v>209</v>
      </c>
      <c r="C12" s="12">
        <f>GovByCongressionalDistrict15General[[#This Row],[Part of Bronx County Vote Results]]</f>
        <v>209</v>
      </c>
      <c r="D12" s="13">
        <f>GovByCongressionalDistrict15General[[#This Row],[Total Votes by Party]]</f>
        <v>209</v>
      </c>
    </row>
    <row r="13" spans="1:4" x14ac:dyDescent="0.2">
      <c r="A13" s="4" t="s">
        <v>0</v>
      </c>
      <c r="B13" s="16">
        <v>1735</v>
      </c>
      <c r="C13" s="12">
        <f>GovByCongressionalDistrict15General[[#This Row],[Part of Bronx County Vote Results]]</f>
        <v>1735</v>
      </c>
      <c r="D13" s="14"/>
    </row>
    <row r="14" spans="1:4" x14ac:dyDescent="0.2">
      <c r="A14" s="4" t="s">
        <v>1</v>
      </c>
      <c r="B14" s="16">
        <v>0</v>
      </c>
      <c r="C14" s="12">
        <f>GovByCongressionalDistrict15General[[#This Row],[Part of Bronx County Vote Results]]</f>
        <v>0</v>
      </c>
      <c r="D14" s="14"/>
    </row>
    <row r="15" spans="1:4" x14ac:dyDescent="0.2">
      <c r="A15" s="4" t="s">
        <v>2</v>
      </c>
      <c r="B15" s="5">
        <v>67</v>
      </c>
      <c r="C15" s="12">
        <f>GovByCongressionalDistrict15General[[#This Row],[Part of Bronx County Vote Results]]</f>
        <v>67</v>
      </c>
      <c r="D15" s="14"/>
    </row>
    <row r="16" spans="1:4" hidden="1" x14ac:dyDescent="0.2">
      <c r="A16" s="4" t="s">
        <v>4</v>
      </c>
      <c r="B16" s="6">
        <f>SUBTOTAL(109,GovByCongressionalDistrict15General[Total Votes by Candidate])</f>
        <v>132108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443EF-D4CD-4374-A1F7-976CD4A41BB3}">
  <dimension ref="A1:E16"/>
  <sheetViews>
    <sheetView workbookViewId="0">
      <selection activeCell="B11" sqref="B11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75" customHeight="1" x14ac:dyDescent="0.2">
      <c r="A1" s="1" t="s">
        <v>68</v>
      </c>
    </row>
    <row r="2" spans="1:5" ht="25.5" x14ac:dyDescent="0.2">
      <c r="A2" s="7" t="s">
        <v>12</v>
      </c>
      <c r="B2" s="8" t="s">
        <v>21</v>
      </c>
      <c r="C2" s="8" t="s">
        <v>22</v>
      </c>
      <c r="D2" s="10" t="s">
        <v>105</v>
      </c>
      <c r="E2" s="11" t="s">
        <v>5</v>
      </c>
    </row>
    <row r="3" spans="1:5" x14ac:dyDescent="0.2">
      <c r="A3" s="2" t="s">
        <v>3</v>
      </c>
      <c r="B3" s="16">
        <v>61456</v>
      </c>
      <c r="C3" s="3">
        <v>102770</v>
      </c>
      <c r="D3" s="12">
        <f>SUM(GovByCongressionalDistrict16General[[#This Row],[Part of Bronx County Vote Results]:[Part of Westchester County Vote Results]])</f>
        <v>164226</v>
      </c>
      <c r="E3" s="13">
        <f>SUM(D3,D7,D8,D9)</f>
        <v>170355</v>
      </c>
    </row>
    <row r="4" spans="1:5" x14ac:dyDescent="0.2">
      <c r="A4" s="2" t="s">
        <v>14</v>
      </c>
      <c r="B4" s="16">
        <v>4681</v>
      </c>
      <c r="C4" s="3">
        <v>36672</v>
      </c>
      <c r="D4" s="12">
        <f>SUM(GovByCongressionalDistrict16General[[#This Row],[Part of Bronx County Vote Results]:[Part of Westchester County Vote Results]])</f>
        <v>41353</v>
      </c>
      <c r="E4" s="13">
        <f>SUM(D4,D5,D10)</f>
        <v>46669</v>
      </c>
    </row>
    <row r="5" spans="1:5" x14ac:dyDescent="0.2">
      <c r="A5" s="2" t="s">
        <v>15</v>
      </c>
      <c r="B5" s="16">
        <v>622</v>
      </c>
      <c r="C5" s="3">
        <v>4178</v>
      </c>
      <c r="D5" s="12">
        <f>SUM(GovByCongressionalDistrict16General[[#This Row],[Part of Bronx County Vote Results]:[Part of Westchester County Vote Results]])</f>
        <v>4800</v>
      </c>
      <c r="E5" s="14"/>
    </row>
    <row r="6" spans="1:5" x14ac:dyDescent="0.2">
      <c r="A6" s="2" t="s">
        <v>6</v>
      </c>
      <c r="B6" s="16">
        <v>748</v>
      </c>
      <c r="C6" s="3">
        <v>1507</v>
      </c>
      <c r="D6" s="12">
        <f>SUM(GovByCongressionalDistrict16General[[#This Row],[Part of Bronx County Vote Results]:[Part of Westchester County Vote Results]])</f>
        <v>2255</v>
      </c>
      <c r="E6" s="13">
        <f>GovByCongressionalDistrict16General[[#This Row],[Total Votes by Party]]</f>
        <v>2255</v>
      </c>
    </row>
    <row r="7" spans="1:5" x14ac:dyDescent="0.2">
      <c r="A7" s="2" t="s">
        <v>7</v>
      </c>
      <c r="B7" s="16">
        <v>1285</v>
      </c>
      <c r="C7" s="3">
        <v>2003</v>
      </c>
      <c r="D7" s="12">
        <f>SUM(GovByCongressionalDistrict16General[[#This Row],[Part of Bronx County Vote Results]:[Part of Westchester County Vote Results]])</f>
        <v>3288</v>
      </c>
      <c r="E7" s="14"/>
    </row>
    <row r="8" spans="1:5" x14ac:dyDescent="0.2">
      <c r="A8" s="2" t="s">
        <v>8</v>
      </c>
      <c r="B8" s="16">
        <v>579</v>
      </c>
      <c r="C8" s="3">
        <v>1363</v>
      </c>
      <c r="D8" s="12">
        <f>SUM(GovByCongressionalDistrict16General[[#This Row],[Part of Bronx County Vote Results]:[Part of Westchester County Vote Results]])</f>
        <v>1942</v>
      </c>
      <c r="E8" s="14"/>
    </row>
    <row r="9" spans="1:5" x14ac:dyDescent="0.2">
      <c r="A9" s="2" t="s">
        <v>9</v>
      </c>
      <c r="B9" s="16">
        <v>104</v>
      </c>
      <c r="C9" s="3">
        <v>795</v>
      </c>
      <c r="D9" s="12">
        <f>SUM(GovByCongressionalDistrict16General[[#This Row],[Part of Bronx County Vote Results]:[Part of Westchester County Vote Results]])</f>
        <v>899</v>
      </c>
      <c r="E9" s="14"/>
    </row>
    <row r="10" spans="1:5" x14ac:dyDescent="0.2">
      <c r="A10" s="2" t="s">
        <v>16</v>
      </c>
      <c r="B10" s="16">
        <v>67</v>
      </c>
      <c r="C10" s="3">
        <v>449</v>
      </c>
      <c r="D10" s="12">
        <f>SUM(GovByCongressionalDistrict16General[[#This Row],[Part of Bronx County Vote Results]:[Part of Westchester County Vote Results]])</f>
        <v>516</v>
      </c>
      <c r="E10" s="14"/>
    </row>
    <row r="11" spans="1:5" x14ac:dyDescent="0.2">
      <c r="A11" s="2" t="s">
        <v>10</v>
      </c>
      <c r="B11" s="16">
        <v>263</v>
      </c>
      <c r="C11" s="3">
        <v>771</v>
      </c>
      <c r="D11" s="12">
        <f>SUM(GovByCongressionalDistrict16General[[#This Row],[Part of Bronx County Vote Results]:[Part of Westchester County Vote Results]])</f>
        <v>1034</v>
      </c>
      <c r="E11" s="13">
        <f>GovByCongressionalDistrict16General[[#This Row],[Total Votes by Party]]</f>
        <v>1034</v>
      </c>
    </row>
    <row r="12" spans="1:5" x14ac:dyDescent="0.2">
      <c r="A12" s="4" t="s">
        <v>11</v>
      </c>
      <c r="B12" s="16">
        <v>163</v>
      </c>
      <c r="C12" s="3">
        <v>1253</v>
      </c>
      <c r="D12" s="12">
        <f>SUM(GovByCongressionalDistrict16General[[#This Row],[Part of Bronx County Vote Results]:[Part of Westchester County Vote Results]])</f>
        <v>1416</v>
      </c>
      <c r="E12" s="13">
        <f>GovByCongressionalDistrict16General[[#This Row],[Total Votes by Party]]</f>
        <v>1416</v>
      </c>
    </row>
    <row r="13" spans="1:5" x14ac:dyDescent="0.2">
      <c r="A13" s="4" t="s">
        <v>0</v>
      </c>
      <c r="B13" s="16">
        <v>1107</v>
      </c>
      <c r="C13" s="3">
        <v>3428</v>
      </c>
      <c r="D13" s="12">
        <f>SUM(GovByCongressionalDistrict16General[[#This Row],[Part of Bronx County Vote Results]:[Part of Westchester County Vote Results]])</f>
        <v>4535</v>
      </c>
      <c r="E13" s="14"/>
    </row>
    <row r="14" spans="1:5" x14ac:dyDescent="0.2">
      <c r="A14" s="4" t="s">
        <v>1</v>
      </c>
      <c r="B14" s="16">
        <v>0</v>
      </c>
      <c r="C14" s="3">
        <v>0</v>
      </c>
      <c r="D14" s="12">
        <f>SUM(GovByCongressionalDistrict16General[[#This Row],[Part of Bronx County Vote Results]:[Part of Westchester County Vote Results]])</f>
        <v>0</v>
      </c>
      <c r="E14" s="14"/>
    </row>
    <row r="15" spans="1:5" x14ac:dyDescent="0.2">
      <c r="A15" s="4" t="s">
        <v>2</v>
      </c>
      <c r="B15" s="5">
        <v>66</v>
      </c>
      <c r="C15" s="5">
        <v>0</v>
      </c>
      <c r="D15" s="12">
        <f>SUM(GovByCongressionalDistrict16General[[#This Row],[Part of Bronx County Vote Results]:[Part of Westchester County Vote Results]])</f>
        <v>66</v>
      </c>
      <c r="E15" s="14"/>
    </row>
    <row r="16" spans="1:5" hidden="1" x14ac:dyDescent="0.2">
      <c r="A16" s="4" t="s">
        <v>4</v>
      </c>
      <c r="B16" s="6">
        <f>SUBTOTAL(109,GovByCongressionalDistrict16General[Part of Bronx County Vote Results])</f>
        <v>71141</v>
      </c>
      <c r="C16" s="6">
        <f>SUBTOTAL(109,GovByCongressionalDistrict16General[Part of Westchester County Vote Results])</f>
        <v>155189</v>
      </c>
      <c r="D16" s="6"/>
      <c r="E16" s="9"/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A14DA-F511-4BD4-A2D7-CA949FD5C0C6}">
  <dimension ref="A1:E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75" customHeight="1" x14ac:dyDescent="0.2">
      <c r="A1" s="1" t="s">
        <v>69</v>
      </c>
    </row>
    <row r="2" spans="1:5" ht="25.5" x14ac:dyDescent="0.2">
      <c r="A2" s="7" t="s">
        <v>12</v>
      </c>
      <c r="B2" s="8" t="s">
        <v>70</v>
      </c>
      <c r="C2" s="8" t="s">
        <v>22</v>
      </c>
      <c r="D2" s="10" t="s">
        <v>105</v>
      </c>
      <c r="E2" s="11" t="s">
        <v>5</v>
      </c>
    </row>
    <row r="3" spans="1:5" x14ac:dyDescent="0.2">
      <c r="A3" s="2" t="s">
        <v>3</v>
      </c>
      <c r="B3" s="3">
        <v>51523</v>
      </c>
      <c r="C3" s="3">
        <v>92554</v>
      </c>
      <c r="D3" s="12">
        <f>SUM(GovByCongressionalDistrict17General[[#This Row],[Rockland County Vote Results]:[Part of Westchester County Vote Results]])</f>
        <v>144077</v>
      </c>
      <c r="E3" s="13">
        <f>SUM(D3,D7,D8,D9)</f>
        <v>151783</v>
      </c>
    </row>
    <row r="4" spans="1:5" x14ac:dyDescent="0.2">
      <c r="A4" s="2" t="s">
        <v>14</v>
      </c>
      <c r="B4" s="3">
        <v>36365</v>
      </c>
      <c r="C4" s="3">
        <v>43484</v>
      </c>
      <c r="D4" s="12">
        <f>SUM(GovByCongressionalDistrict17General[[#This Row],[Rockland County Vote Results]:[Part of Westchester County Vote Results]])</f>
        <v>79849</v>
      </c>
      <c r="E4" s="13">
        <f>SUM(D4,D5,D10)</f>
        <v>92904</v>
      </c>
    </row>
    <row r="5" spans="1:5" x14ac:dyDescent="0.2">
      <c r="A5" s="2" t="s">
        <v>15</v>
      </c>
      <c r="B5" s="3">
        <v>4845</v>
      </c>
      <c r="C5" s="3">
        <v>4850</v>
      </c>
      <c r="D5" s="12">
        <f>SUM(GovByCongressionalDistrict17General[[#This Row],[Rockland County Vote Results]:[Part of Westchester County Vote Results]])</f>
        <v>9695</v>
      </c>
      <c r="E5" s="14"/>
    </row>
    <row r="6" spans="1:5" x14ac:dyDescent="0.2">
      <c r="A6" s="2" t="s">
        <v>6</v>
      </c>
      <c r="B6" s="3">
        <v>1157</v>
      </c>
      <c r="C6" s="3">
        <v>1931</v>
      </c>
      <c r="D6" s="12">
        <f>SUM(GovByCongressionalDistrict17General[[#This Row],[Rockland County Vote Results]:[Part of Westchester County Vote Results]])</f>
        <v>3088</v>
      </c>
      <c r="E6" s="13">
        <f>GovByCongressionalDistrict17General[[#This Row],[Total Votes by Party]]</f>
        <v>3088</v>
      </c>
    </row>
    <row r="7" spans="1:5" x14ac:dyDescent="0.2">
      <c r="A7" s="2" t="s">
        <v>7</v>
      </c>
      <c r="B7" s="3">
        <v>1229</v>
      </c>
      <c r="C7" s="3">
        <v>2345</v>
      </c>
      <c r="D7" s="12">
        <f>SUM(GovByCongressionalDistrict17General[[#This Row],[Rockland County Vote Results]:[Part of Westchester County Vote Results]])</f>
        <v>3574</v>
      </c>
      <c r="E7" s="14"/>
    </row>
    <row r="8" spans="1:5" x14ac:dyDescent="0.2">
      <c r="A8" s="2" t="s">
        <v>8</v>
      </c>
      <c r="B8" s="3">
        <v>1145</v>
      </c>
      <c r="C8" s="3">
        <v>1557</v>
      </c>
      <c r="D8" s="12">
        <f>SUM(GovByCongressionalDistrict17General[[#This Row],[Rockland County Vote Results]:[Part of Westchester County Vote Results]])</f>
        <v>2702</v>
      </c>
      <c r="E8" s="14"/>
    </row>
    <row r="9" spans="1:5" x14ac:dyDescent="0.2">
      <c r="A9" s="2" t="s">
        <v>9</v>
      </c>
      <c r="B9" s="3">
        <v>539</v>
      </c>
      <c r="C9" s="3">
        <v>891</v>
      </c>
      <c r="D9" s="12">
        <f>SUM(GovByCongressionalDistrict17General[[#This Row],[Rockland County Vote Results]:[Part of Westchester County Vote Results]])</f>
        <v>1430</v>
      </c>
      <c r="E9" s="14"/>
    </row>
    <row r="10" spans="1:5" x14ac:dyDescent="0.2">
      <c r="A10" s="2" t="s">
        <v>16</v>
      </c>
      <c r="B10" s="3">
        <v>2810</v>
      </c>
      <c r="C10" s="3">
        <v>550</v>
      </c>
      <c r="D10" s="12">
        <f>SUM(GovByCongressionalDistrict17General[[#This Row],[Rockland County Vote Results]:[Part of Westchester County Vote Results]])</f>
        <v>3360</v>
      </c>
      <c r="E10" s="14"/>
    </row>
    <row r="11" spans="1:5" x14ac:dyDescent="0.2">
      <c r="A11" s="2" t="s">
        <v>10</v>
      </c>
      <c r="B11" s="3">
        <v>714</v>
      </c>
      <c r="C11" s="3">
        <v>976</v>
      </c>
      <c r="D11" s="12">
        <f>SUM(GovByCongressionalDistrict17General[[#This Row],[Rockland County Vote Results]:[Part of Westchester County Vote Results]])</f>
        <v>1690</v>
      </c>
      <c r="E11" s="13">
        <f>GovByCongressionalDistrict17General[[#This Row],[Total Votes by Party]]</f>
        <v>1690</v>
      </c>
    </row>
    <row r="12" spans="1:5" x14ac:dyDescent="0.2">
      <c r="A12" s="4" t="s">
        <v>11</v>
      </c>
      <c r="B12" s="3">
        <v>827</v>
      </c>
      <c r="C12" s="3">
        <v>1120</v>
      </c>
      <c r="D12" s="12">
        <f>SUM(GovByCongressionalDistrict17General[[#This Row],[Rockland County Vote Results]:[Part of Westchester County Vote Results]])</f>
        <v>1947</v>
      </c>
      <c r="E12" s="13">
        <f>GovByCongressionalDistrict17General[[#This Row],[Total Votes by Party]]</f>
        <v>1947</v>
      </c>
    </row>
    <row r="13" spans="1:5" x14ac:dyDescent="0.2">
      <c r="A13" s="4" t="s">
        <v>0</v>
      </c>
      <c r="B13" s="3">
        <v>2637</v>
      </c>
      <c r="C13" s="3">
        <v>2912</v>
      </c>
      <c r="D13" s="12">
        <f>SUM(GovByCongressionalDistrict17General[[#This Row],[Rockland County Vote Results]:[Part of Westchester County Vote Results]])</f>
        <v>5549</v>
      </c>
      <c r="E13" s="14"/>
    </row>
    <row r="14" spans="1:5" x14ac:dyDescent="0.2">
      <c r="A14" s="4" t="s">
        <v>1</v>
      </c>
      <c r="B14" s="3">
        <v>211</v>
      </c>
      <c r="C14" s="3">
        <v>0</v>
      </c>
      <c r="D14" s="12">
        <f>SUM(GovByCongressionalDistrict17General[[#This Row],[Rockland County Vote Results]:[Part of Westchester County Vote Results]])</f>
        <v>211</v>
      </c>
      <c r="E14" s="14"/>
    </row>
    <row r="15" spans="1:5" x14ac:dyDescent="0.2">
      <c r="A15" s="4" t="s">
        <v>2</v>
      </c>
      <c r="B15" s="5">
        <v>51</v>
      </c>
      <c r="C15" s="5">
        <v>0</v>
      </c>
      <c r="D15" s="12">
        <f>SUM(GovByCongressionalDistrict17General[[#This Row],[Rockland County Vote Results]:[Part of Westchester County Vote Results]])</f>
        <v>51</v>
      </c>
      <c r="E15" s="14"/>
    </row>
    <row r="16" spans="1:5" hidden="1" x14ac:dyDescent="0.2">
      <c r="A16" s="4" t="s">
        <v>4</v>
      </c>
      <c r="B16" s="6">
        <f>SUBTOTAL(109,GovByCongressionalDistrict17General[Rockland County Vote Results])</f>
        <v>104053</v>
      </c>
      <c r="C16" s="6">
        <f>SUBTOTAL(109,GovByCongressionalDistrict17General[Part of Westchester County Vote Results])</f>
        <v>153170</v>
      </c>
      <c r="D16" s="6"/>
      <c r="E16" s="9"/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4E3E8-9800-486A-901A-773EE386DF05}">
  <dimension ref="A1:G16"/>
  <sheetViews>
    <sheetView workbookViewId="0">
      <selection activeCell="D15" sqref="D15"/>
    </sheetView>
  </sheetViews>
  <sheetFormatPr defaultRowHeight="12.75" x14ac:dyDescent="0.2"/>
  <cols>
    <col min="1" max="1" width="25.5703125" customWidth="1"/>
    <col min="2" max="7" width="20.5703125" customWidth="1"/>
    <col min="8" max="9" width="23.5703125" customWidth="1"/>
  </cols>
  <sheetData>
    <row r="1" spans="1:7" ht="24.75" customHeight="1" x14ac:dyDescent="0.2">
      <c r="A1" s="1" t="s">
        <v>71</v>
      </c>
    </row>
    <row r="2" spans="1:7" ht="25.5" x14ac:dyDescent="0.2">
      <c r="A2" s="7" t="s">
        <v>12</v>
      </c>
      <c r="B2" s="8" t="s">
        <v>72</v>
      </c>
      <c r="C2" s="8" t="s">
        <v>73</v>
      </c>
      <c r="D2" s="8" t="s">
        <v>26</v>
      </c>
      <c r="E2" s="8" t="s">
        <v>22</v>
      </c>
      <c r="F2" s="10" t="s">
        <v>105</v>
      </c>
      <c r="G2" s="11" t="s">
        <v>5</v>
      </c>
    </row>
    <row r="3" spans="1:7" x14ac:dyDescent="0.2">
      <c r="A3" s="2" t="s">
        <v>3</v>
      </c>
      <c r="B3" s="3">
        <v>50261</v>
      </c>
      <c r="C3" s="3">
        <v>15320</v>
      </c>
      <c r="D3" s="3">
        <v>28603</v>
      </c>
      <c r="E3" s="3">
        <v>17509</v>
      </c>
      <c r="F3" s="12">
        <f>SUM(GovByCongressionalDistrict18General[[#This Row],[Orange County Vote Results]:[Part of Westchester County Vote Results]])</f>
        <v>111693</v>
      </c>
      <c r="G3" s="13">
        <f>SUM(F3,F7,F8,F9)</f>
        <v>122196</v>
      </c>
    </row>
    <row r="4" spans="1:7" x14ac:dyDescent="0.2">
      <c r="A4" s="2" t="s">
        <v>14</v>
      </c>
      <c r="B4" s="3">
        <v>52957</v>
      </c>
      <c r="C4" s="3">
        <v>18184</v>
      </c>
      <c r="D4" s="3">
        <v>27072</v>
      </c>
      <c r="E4" s="3">
        <v>10629</v>
      </c>
      <c r="F4" s="12">
        <f>SUM(GovByCongressionalDistrict18General[[#This Row],[Orange County Vote Results]:[Part of Westchester County Vote Results]])</f>
        <v>108842</v>
      </c>
      <c r="G4" s="13">
        <f>SUM(F4,F5,F10)</f>
        <v>125260</v>
      </c>
    </row>
    <row r="5" spans="1:7" x14ac:dyDescent="0.2">
      <c r="A5" s="2" t="s">
        <v>15</v>
      </c>
      <c r="B5" s="3">
        <v>6774</v>
      </c>
      <c r="C5" s="3">
        <v>2539</v>
      </c>
      <c r="D5" s="3">
        <v>3934</v>
      </c>
      <c r="E5" s="3">
        <v>1267</v>
      </c>
      <c r="F5" s="12">
        <f>SUM(GovByCongressionalDistrict18General[[#This Row],[Orange County Vote Results]:[Part of Westchester County Vote Results]])</f>
        <v>14514</v>
      </c>
      <c r="G5" s="14"/>
    </row>
    <row r="6" spans="1:7" x14ac:dyDescent="0.2">
      <c r="A6" s="2" t="s">
        <v>6</v>
      </c>
      <c r="B6" s="3">
        <v>1882</v>
      </c>
      <c r="C6" s="3">
        <v>458</v>
      </c>
      <c r="D6" s="3">
        <v>753</v>
      </c>
      <c r="E6" s="3">
        <v>300</v>
      </c>
      <c r="F6" s="12">
        <f>SUM(GovByCongressionalDistrict18General[[#This Row],[Orange County Vote Results]:[Part of Westchester County Vote Results]])</f>
        <v>3393</v>
      </c>
      <c r="G6" s="13">
        <f>GovByCongressionalDistrict18General[[#This Row],[Total Votes by Party]]</f>
        <v>3393</v>
      </c>
    </row>
    <row r="7" spans="1:7" x14ac:dyDescent="0.2">
      <c r="A7" s="2" t="s">
        <v>7</v>
      </c>
      <c r="B7" s="3">
        <v>1188</v>
      </c>
      <c r="C7" s="3">
        <v>516</v>
      </c>
      <c r="D7" s="3">
        <v>863</v>
      </c>
      <c r="E7" s="3">
        <v>344</v>
      </c>
      <c r="F7" s="12">
        <f>SUM(GovByCongressionalDistrict18General[[#This Row],[Orange County Vote Results]:[Part of Westchester County Vote Results]])</f>
        <v>2911</v>
      </c>
      <c r="G7" s="14"/>
    </row>
    <row r="8" spans="1:7" x14ac:dyDescent="0.2">
      <c r="A8" s="2" t="s">
        <v>8</v>
      </c>
      <c r="B8" s="3">
        <v>4809</v>
      </c>
      <c r="C8" s="3">
        <v>503</v>
      </c>
      <c r="D8" s="3">
        <v>571</v>
      </c>
      <c r="E8" s="3">
        <v>375</v>
      </c>
      <c r="F8" s="12">
        <f>SUM(GovByCongressionalDistrict18General[[#This Row],[Orange County Vote Results]:[Part of Westchester County Vote Results]])</f>
        <v>6258</v>
      </c>
      <c r="G8" s="14"/>
    </row>
    <row r="9" spans="1:7" x14ac:dyDescent="0.2">
      <c r="A9" s="2" t="s">
        <v>9</v>
      </c>
      <c r="B9" s="3">
        <v>624</v>
      </c>
      <c r="C9" s="3">
        <v>217</v>
      </c>
      <c r="D9" s="3">
        <v>314</v>
      </c>
      <c r="E9" s="3">
        <v>179</v>
      </c>
      <c r="F9" s="12">
        <f>SUM(GovByCongressionalDistrict18General[[#This Row],[Orange County Vote Results]:[Part of Westchester County Vote Results]])</f>
        <v>1334</v>
      </c>
      <c r="G9" s="14"/>
    </row>
    <row r="10" spans="1:7" x14ac:dyDescent="0.2">
      <c r="A10" s="2" t="s">
        <v>16</v>
      </c>
      <c r="B10" s="3">
        <v>1170</v>
      </c>
      <c r="C10" s="3">
        <v>191</v>
      </c>
      <c r="D10" s="3">
        <v>442</v>
      </c>
      <c r="E10" s="3">
        <v>101</v>
      </c>
      <c r="F10" s="12">
        <f>SUM(GovByCongressionalDistrict18General[[#This Row],[Orange County Vote Results]:[Part of Westchester County Vote Results]])</f>
        <v>1904</v>
      </c>
      <c r="G10" s="14"/>
    </row>
    <row r="11" spans="1:7" x14ac:dyDescent="0.2">
      <c r="A11" s="2" t="s">
        <v>10</v>
      </c>
      <c r="B11" s="3">
        <v>1857</v>
      </c>
      <c r="C11" s="3">
        <v>332</v>
      </c>
      <c r="D11" s="3">
        <v>649</v>
      </c>
      <c r="E11" s="3">
        <v>145</v>
      </c>
      <c r="F11" s="12">
        <f>SUM(GovByCongressionalDistrict18General[[#This Row],[Orange County Vote Results]:[Part of Westchester County Vote Results]])</f>
        <v>2983</v>
      </c>
      <c r="G11" s="13">
        <f>GovByCongressionalDistrict18General[[#This Row],[Total Votes by Party]]</f>
        <v>2983</v>
      </c>
    </row>
    <row r="12" spans="1:7" x14ac:dyDescent="0.2">
      <c r="A12" s="4" t="s">
        <v>11</v>
      </c>
      <c r="B12" s="3">
        <v>962</v>
      </c>
      <c r="C12" s="3">
        <v>253</v>
      </c>
      <c r="D12" s="3">
        <v>256</v>
      </c>
      <c r="E12" s="3">
        <v>203</v>
      </c>
      <c r="F12" s="12">
        <f>SUM(GovByCongressionalDistrict18General[[#This Row],[Orange County Vote Results]:[Part of Westchester County Vote Results]])</f>
        <v>1674</v>
      </c>
      <c r="G12" s="13">
        <f>GovByCongressionalDistrict18General[[#This Row],[Total Votes by Party]]</f>
        <v>1674</v>
      </c>
    </row>
    <row r="13" spans="1:7" x14ac:dyDescent="0.2">
      <c r="A13" s="4" t="s">
        <v>0</v>
      </c>
      <c r="B13" s="3">
        <v>3343</v>
      </c>
      <c r="C13" s="3">
        <v>1249</v>
      </c>
      <c r="D13" s="3">
        <v>372</v>
      </c>
      <c r="E13" s="3">
        <v>522</v>
      </c>
      <c r="F13" s="12">
        <f>SUM(GovByCongressionalDistrict18General[[#This Row],[Orange County Vote Results]:[Part of Westchester County Vote Results]])</f>
        <v>5486</v>
      </c>
      <c r="G13" s="14"/>
    </row>
    <row r="14" spans="1:7" x14ac:dyDescent="0.2">
      <c r="A14" s="4" t="s">
        <v>1</v>
      </c>
      <c r="B14" s="3">
        <v>0</v>
      </c>
      <c r="C14" s="3">
        <v>0</v>
      </c>
      <c r="D14" s="3">
        <v>48</v>
      </c>
      <c r="E14" s="3">
        <v>0</v>
      </c>
      <c r="F14" s="12">
        <f>SUM(GovByCongressionalDistrict18General[[#This Row],[Orange County Vote Results]:[Part of Westchester County Vote Results]])</f>
        <v>48</v>
      </c>
      <c r="G14" s="14"/>
    </row>
    <row r="15" spans="1:7" x14ac:dyDescent="0.2">
      <c r="A15" s="4" t="s">
        <v>2</v>
      </c>
      <c r="B15" s="5">
        <v>97</v>
      </c>
      <c r="C15" s="5">
        <v>22</v>
      </c>
      <c r="D15" s="5">
        <v>39</v>
      </c>
      <c r="E15" s="5">
        <v>0</v>
      </c>
      <c r="F15" s="12">
        <f>SUM(GovByCongressionalDistrict18General[[#This Row],[Orange County Vote Results]:[Part of Westchester County Vote Results]])</f>
        <v>158</v>
      </c>
      <c r="G15" s="14"/>
    </row>
    <row r="16" spans="1:7" hidden="1" x14ac:dyDescent="0.2">
      <c r="A16" s="4" t="s">
        <v>4</v>
      </c>
      <c r="B16" s="6">
        <f>SUBTOTAL(109,GovByCongressionalDistrict18General[Orange County Vote Results])</f>
        <v>125924</v>
      </c>
      <c r="C16" s="6"/>
      <c r="D16" s="6"/>
      <c r="E16" s="6">
        <f>SUBTOTAL(109,GovByCongressionalDistrict18General[Part of Westchester County Vote Results])</f>
        <v>31574</v>
      </c>
      <c r="F16" s="6"/>
      <c r="G16" s="9"/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C3ACF-9530-4AF0-A550-BF0F1DD59AA1}">
  <dimension ref="A1:N16"/>
  <sheetViews>
    <sheetView topLeftCell="D1" workbookViewId="0">
      <selection activeCell="F11" sqref="A11:XFD11"/>
    </sheetView>
  </sheetViews>
  <sheetFormatPr defaultRowHeight="12.75" x14ac:dyDescent="0.2"/>
  <cols>
    <col min="1" max="1" width="25.5703125" customWidth="1"/>
    <col min="2" max="14" width="20.5703125" customWidth="1"/>
    <col min="15" max="16" width="23.5703125" customWidth="1"/>
  </cols>
  <sheetData>
    <row r="1" spans="1:14" ht="24.75" customHeight="1" x14ac:dyDescent="0.2">
      <c r="A1" s="1" t="s">
        <v>74</v>
      </c>
    </row>
    <row r="2" spans="1:14" ht="25.5" x14ac:dyDescent="0.2">
      <c r="A2" s="7" t="s">
        <v>12</v>
      </c>
      <c r="B2" s="8" t="s">
        <v>75</v>
      </c>
      <c r="C2" s="8" t="s">
        <v>76</v>
      </c>
      <c r="D2" s="8" t="s">
        <v>24</v>
      </c>
      <c r="E2" s="8" t="s">
        <v>77</v>
      </c>
      <c r="F2" s="8" t="s">
        <v>25</v>
      </c>
      <c r="G2" s="8" t="s">
        <v>78</v>
      </c>
      <c r="H2" s="8" t="s">
        <v>79</v>
      </c>
      <c r="I2" s="8" t="s">
        <v>38</v>
      </c>
      <c r="J2" s="8" t="s">
        <v>26</v>
      </c>
      <c r="K2" s="8" t="s">
        <v>80</v>
      </c>
      <c r="L2" s="8" t="s">
        <v>27</v>
      </c>
      <c r="M2" s="10" t="s">
        <v>105</v>
      </c>
      <c r="N2" s="11" t="s">
        <v>5</v>
      </c>
    </row>
    <row r="3" spans="1:14" x14ac:dyDescent="0.2">
      <c r="A3" s="2" t="s">
        <v>3</v>
      </c>
      <c r="B3" s="3">
        <v>12451</v>
      </c>
      <c r="C3" s="3">
        <v>5373</v>
      </c>
      <c r="D3" s="3">
        <v>5557</v>
      </c>
      <c r="E3" s="3">
        <v>7565</v>
      </c>
      <c r="F3" s="3">
        <v>2817</v>
      </c>
      <c r="G3" s="3">
        <v>9724</v>
      </c>
      <c r="H3" s="3">
        <v>37218</v>
      </c>
      <c r="I3" s="3">
        <v>201</v>
      </c>
      <c r="J3" s="3">
        <v>19530</v>
      </c>
      <c r="K3" s="3">
        <v>1006</v>
      </c>
      <c r="L3" s="3">
        <v>8202</v>
      </c>
      <c r="M3" s="12">
        <f>SUM(GovByCongressionalDistrict19General[[#This Row],[Columbia County Vote Results]:[Part of Rensselaer County Vote Results]])</f>
        <v>109644</v>
      </c>
      <c r="N3" s="13">
        <f>SUM(M3,M7,M8,M9)</f>
        <v>120001</v>
      </c>
    </row>
    <row r="4" spans="1:14" x14ac:dyDescent="0.2">
      <c r="A4" s="2" t="s">
        <v>14</v>
      </c>
      <c r="B4" s="3">
        <v>11985</v>
      </c>
      <c r="C4" s="3">
        <v>9075</v>
      </c>
      <c r="D4" s="3">
        <v>10337</v>
      </c>
      <c r="E4" s="3">
        <v>10444</v>
      </c>
      <c r="F4" s="3">
        <v>6906</v>
      </c>
      <c r="G4" s="3">
        <v>11442</v>
      </c>
      <c r="H4" s="3">
        <v>28415</v>
      </c>
      <c r="I4" s="3">
        <v>506</v>
      </c>
      <c r="J4" s="3">
        <v>23915</v>
      </c>
      <c r="K4" s="3">
        <v>2967</v>
      </c>
      <c r="L4" s="3">
        <v>14339</v>
      </c>
      <c r="M4" s="12">
        <f>SUM(GovByCongressionalDistrict19General[[#This Row],[Columbia County Vote Results]:[Part of Rensselaer County Vote Results]])</f>
        <v>130331</v>
      </c>
      <c r="N4" s="13">
        <f>SUM(M4,M5,M10)</f>
        <v>151819</v>
      </c>
    </row>
    <row r="5" spans="1:14" x14ac:dyDescent="0.2">
      <c r="A5" s="2" t="s">
        <v>15</v>
      </c>
      <c r="B5" s="3">
        <v>2009</v>
      </c>
      <c r="C5" s="3">
        <v>766</v>
      </c>
      <c r="D5" s="3">
        <v>1602</v>
      </c>
      <c r="E5" s="3">
        <v>1006</v>
      </c>
      <c r="F5" s="3">
        <v>1178</v>
      </c>
      <c r="G5" s="3">
        <v>1353</v>
      </c>
      <c r="H5" s="3">
        <v>4456</v>
      </c>
      <c r="I5" s="3">
        <v>41</v>
      </c>
      <c r="J5" s="3">
        <v>3314</v>
      </c>
      <c r="K5" s="3">
        <v>402</v>
      </c>
      <c r="L5" s="3">
        <v>2966</v>
      </c>
      <c r="M5" s="12">
        <f>SUM(GovByCongressionalDistrict19General[[#This Row],[Columbia County Vote Results]:[Part of Rensselaer County Vote Results]])</f>
        <v>19093</v>
      </c>
      <c r="N5" s="14"/>
    </row>
    <row r="6" spans="1:14" x14ac:dyDescent="0.2">
      <c r="A6" s="2" t="s">
        <v>6</v>
      </c>
      <c r="B6" s="3">
        <v>669</v>
      </c>
      <c r="C6" s="3">
        <v>311</v>
      </c>
      <c r="D6" s="3">
        <v>386</v>
      </c>
      <c r="E6" s="3">
        <v>422</v>
      </c>
      <c r="F6" s="3">
        <v>214</v>
      </c>
      <c r="G6" s="3">
        <v>379</v>
      </c>
      <c r="H6" s="3">
        <v>1944</v>
      </c>
      <c r="I6" s="3">
        <v>9</v>
      </c>
      <c r="J6" s="3">
        <v>559</v>
      </c>
      <c r="K6" s="3">
        <v>42</v>
      </c>
      <c r="L6" s="3">
        <v>790</v>
      </c>
      <c r="M6" s="12">
        <f>SUM(GovByCongressionalDistrict19General[[#This Row],[Columbia County Vote Results]:[Part of Rensselaer County Vote Results]])</f>
        <v>5725</v>
      </c>
      <c r="N6" s="13">
        <f>GovByCongressionalDistrict19General[[#This Row],[Total Votes by Party]]</f>
        <v>5725</v>
      </c>
    </row>
    <row r="7" spans="1:14" x14ac:dyDescent="0.2">
      <c r="A7" s="2" t="s">
        <v>7</v>
      </c>
      <c r="B7" s="3">
        <v>709</v>
      </c>
      <c r="C7" s="3">
        <v>192</v>
      </c>
      <c r="D7" s="3">
        <v>270</v>
      </c>
      <c r="E7" s="3">
        <v>211</v>
      </c>
      <c r="F7" s="3">
        <v>116</v>
      </c>
      <c r="G7" s="3">
        <v>315</v>
      </c>
      <c r="H7" s="3">
        <v>2639</v>
      </c>
      <c r="I7" s="3">
        <v>8</v>
      </c>
      <c r="J7" s="3">
        <v>671</v>
      </c>
      <c r="K7" s="3">
        <v>33</v>
      </c>
      <c r="L7" s="3">
        <v>388</v>
      </c>
      <c r="M7" s="12">
        <f>SUM(GovByCongressionalDistrict19General[[#This Row],[Columbia County Vote Results]:[Part of Rensselaer County Vote Results]])</f>
        <v>5552</v>
      </c>
      <c r="N7" s="14"/>
    </row>
    <row r="8" spans="1:14" x14ac:dyDescent="0.2">
      <c r="A8" s="2" t="s">
        <v>8</v>
      </c>
      <c r="B8" s="3">
        <v>315</v>
      </c>
      <c r="C8" s="3">
        <v>129</v>
      </c>
      <c r="D8" s="3">
        <v>170</v>
      </c>
      <c r="E8" s="3">
        <v>232</v>
      </c>
      <c r="F8" s="3">
        <v>114</v>
      </c>
      <c r="G8" s="3">
        <v>303</v>
      </c>
      <c r="H8" s="3">
        <v>904</v>
      </c>
      <c r="I8" s="3">
        <v>5</v>
      </c>
      <c r="J8" s="3">
        <v>424</v>
      </c>
      <c r="K8" s="3">
        <v>30</v>
      </c>
      <c r="L8" s="3">
        <v>386</v>
      </c>
      <c r="M8" s="12">
        <f>SUM(GovByCongressionalDistrict19General[[#This Row],[Columbia County Vote Results]:[Part of Rensselaer County Vote Results]])</f>
        <v>3012</v>
      </c>
      <c r="N8" s="14"/>
    </row>
    <row r="9" spans="1:14" x14ac:dyDescent="0.2">
      <c r="A9" s="2" t="s">
        <v>9</v>
      </c>
      <c r="B9" s="3">
        <v>190</v>
      </c>
      <c r="C9" s="3">
        <v>102</v>
      </c>
      <c r="D9" s="3">
        <v>116</v>
      </c>
      <c r="E9" s="3">
        <v>143</v>
      </c>
      <c r="F9" s="3">
        <v>52</v>
      </c>
      <c r="G9" s="3">
        <v>144</v>
      </c>
      <c r="H9" s="3">
        <v>637</v>
      </c>
      <c r="I9" s="3">
        <v>2</v>
      </c>
      <c r="J9" s="3">
        <v>212</v>
      </c>
      <c r="K9" s="3">
        <v>13</v>
      </c>
      <c r="L9" s="3">
        <v>182</v>
      </c>
      <c r="M9" s="12">
        <f>SUM(GovByCongressionalDistrict19General[[#This Row],[Columbia County Vote Results]:[Part of Rensselaer County Vote Results]])</f>
        <v>1793</v>
      </c>
      <c r="N9" s="14"/>
    </row>
    <row r="10" spans="1:14" x14ac:dyDescent="0.2">
      <c r="A10" s="2" t="s">
        <v>16</v>
      </c>
      <c r="B10" s="3">
        <v>259</v>
      </c>
      <c r="C10" s="3">
        <v>93</v>
      </c>
      <c r="D10" s="3">
        <v>149</v>
      </c>
      <c r="E10" s="3">
        <v>142</v>
      </c>
      <c r="F10" s="3">
        <v>106</v>
      </c>
      <c r="G10" s="3">
        <v>196</v>
      </c>
      <c r="H10" s="3">
        <v>637</v>
      </c>
      <c r="I10" s="3">
        <v>10</v>
      </c>
      <c r="J10" s="3">
        <v>460</v>
      </c>
      <c r="K10" s="3">
        <v>41</v>
      </c>
      <c r="L10" s="3">
        <v>302</v>
      </c>
      <c r="M10" s="12">
        <f>SUM(GovByCongressionalDistrict19General[[#This Row],[Columbia County Vote Results]:[Part of Rensselaer County Vote Results]])</f>
        <v>2395</v>
      </c>
      <c r="N10" s="14"/>
    </row>
    <row r="11" spans="1:14" x14ac:dyDescent="0.2">
      <c r="A11" s="2" t="s">
        <v>10</v>
      </c>
      <c r="B11" s="3">
        <v>340</v>
      </c>
      <c r="C11" s="3">
        <v>930</v>
      </c>
      <c r="D11" s="3">
        <v>370</v>
      </c>
      <c r="E11" s="3">
        <v>726</v>
      </c>
      <c r="F11" s="3">
        <v>563</v>
      </c>
      <c r="G11" s="3">
        <v>477</v>
      </c>
      <c r="H11" s="3">
        <v>1298</v>
      </c>
      <c r="I11" s="3">
        <v>26</v>
      </c>
      <c r="J11" s="3">
        <v>530</v>
      </c>
      <c r="K11" s="3">
        <v>153</v>
      </c>
      <c r="L11" s="3">
        <v>688</v>
      </c>
      <c r="M11" s="12">
        <f>SUM(GovByCongressionalDistrict19General[[#This Row],[Columbia County Vote Results]:[Part of Rensselaer County Vote Results]])</f>
        <v>6101</v>
      </c>
      <c r="N11" s="13">
        <f>GovByCongressionalDistrict19General[[#This Row],[Total Votes by Party]]</f>
        <v>6101</v>
      </c>
    </row>
    <row r="12" spans="1:14" x14ac:dyDescent="0.2">
      <c r="A12" s="4" t="s">
        <v>11</v>
      </c>
      <c r="B12" s="3">
        <v>296</v>
      </c>
      <c r="C12" s="3">
        <v>140</v>
      </c>
      <c r="D12" s="3">
        <v>194</v>
      </c>
      <c r="E12" s="3">
        <v>293</v>
      </c>
      <c r="F12" s="3">
        <v>144</v>
      </c>
      <c r="G12" s="3">
        <v>202</v>
      </c>
      <c r="H12" s="3">
        <v>419</v>
      </c>
      <c r="I12" s="3">
        <v>5</v>
      </c>
      <c r="J12" s="3">
        <v>197</v>
      </c>
      <c r="K12" s="3">
        <v>61</v>
      </c>
      <c r="L12" s="3">
        <v>541</v>
      </c>
      <c r="M12" s="12">
        <f>SUM(GovByCongressionalDistrict19General[[#This Row],[Columbia County Vote Results]:[Part of Rensselaer County Vote Results]])</f>
        <v>2492</v>
      </c>
      <c r="N12" s="13">
        <f>GovByCongressionalDistrict19General[[#This Row],[Total Votes by Party]]</f>
        <v>2492</v>
      </c>
    </row>
    <row r="13" spans="1:14" x14ac:dyDescent="0.2">
      <c r="A13" s="4" t="s">
        <v>0</v>
      </c>
      <c r="B13" s="3">
        <v>579</v>
      </c>
      <c r="C13" s="3">
        <v>289</v>
      </c>
      <c r="D13" s="3">
        <v>910</v>
      </c>
      <c r="E13" s="3">
        <v>1028</v>
      </c>
      <c r="F13" s="3">
        <v>253</v>
      </c>
      <c r="G13" s="3">
        <v>968</v>
      </c>
      <c r="H13" s="3">
        <v>1076</v>
      </c>
      <c r="I13" s="3">
        <v>29</v>
      </c>
      <c r="J13" s="3">
        <v>400</v>
      </c>
      <c r="K13" s="3">
        <v>153</v>
      </c>
      <c r="L13" s="3">
        <v>960</v>
      </c>
      <c r="M13" s="12">
        <f>SUM(GovByCongressionalDistrict19General[[#This Row],[Columbia County Vote Results]:[Part of Rensselaer County Vote Results]])</f>
        <v>6645</v>
      </c>
      <c r="N13" s="14"/>
    </row>
    <row r="14" spans="1:14" x14ac:dyDescent="0.2">
      <c r="A14" s="4" t="s">
        <v>1</v>
      </c>
      <c r="B14" s="3">
        <v>52</v>
      </c>
      <c r="C14" s="3">
        <v>4</v>
      </c>
      <c r="D14" s="3">
        <v>31</v>
      </c>
      <c r="E14" s="3">
        <v>64</v>
      </c>
      <c r="F14" s="3">
        <v>21</v>
      </c>
      <c r="G14" s="3">
        <v>10</v>
      </c>
      <c r="H14" s="3">
        <v>54</v>
      </c>
      <c r="I14" s="3">
        <v>3</v>
      </c>
      <c r="J14" s="3">
        <v>28</v>
      </c>
      <c r="K14" s="3">
        <v>2</v>
      </c>
      <c r="L14" s="3">
        <v>0</v>
      </c>
      <c r="M14" s="12">
        <f>SUM(GovByCongressionalDistrict19General[[#This Row],[Columbia County Vote Results]:[Part of Rensselaer County Vote Results]])</f>
        <v>269</v>
      </c>
      <c r="N14" s="14"/>
    </row>
    <row r="15" spans="1:14" x14ac:dyDescent="0.2">
      <c r="A15" s="4" t="s">
        <v>2</v>
      </c>
      <c r="B15" s="3">
        <v>46</v>
      </c>
      <c r="C15" s="5">
        <v>15</v>
      </c>
      <c r="D15" s="5">
        <v>19</v>
      </c>
      <c r="E15" s="5">
        <v>19</v>
      </c>
      <c r="F15" s="5">
        <v>8</v>
      </c>
      <c r="G15" s="5">
        <v>20</v>
      </c>
      <c r="H15" s="5">
        <v>90</v>
      </c>
      <c r="I15" s="5">
        <v>0</v>
      </c>
      <c r="J15" s="5">
        <v>43</v>
      </c>
      <c r="K15" s="5">
        <v>1</v>
      </c>
      <c r="L15" s="5">
        <v>27</v>
      </c>
      <c r="M15" s="12">
        <f>SUM(GovByCongressionalDistrict19General[[#This Row],[Columbia County Vote Results]:[Part of Rensselaer County Vote Results]])</f>
        <v>288</v>
      </c>
      <c r="N15" s="14"/>
    </row>
    <row r="16" spans="1:14" hidden="1" x14ac:dyDescent="0.2">
      <c r="A16" s="4" t="s">
        <v>4</v>
      </c>
      <c r="B16" s="6">
        <f>SUBTOTAL(109,GovByCongressionalDistrict19General[Columbia County Vote Results])</f>
        <v>29900</v>
      </c>
      <c r="C16" s="6"/>
      <c r="D16" s="6"/>
      <c r="E16" s="6"/>
      <c r="F16" s="6"/>
      <c r="G16" s="6"/>
      <c r="H16" s="6"/>
      <c r="I16" s="6"/>
      <c r="J16" s="6"/>
      <c r="K16" s="6"/>
      <c r="L16" s="6">
        <f>SUBTOTAL(109,GovByCongressionalDistrict19General[Part of Rensselaer County Vote Results])</f>
        <v>29771</v>
      </c>
      <c r="M16" s="6"/>
      <c r="N16" s="9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3800E-8344-4742-98F2-FFC96C75FCC2}">
  <dimension ref="A1:E17"/>
  <sheetViews>
    <sheetView workbookViewId="0">
      <selection activeCell="C18" sqref="C18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75" customHeight="1" x14ac:dyDescent="0.2">
      <c r="A1" s="1" t="s">
        <v>53</v>
      </c>
    </row>
    <row r="2" spans="1:5" ht="25.5" x14ac:dyDescent="0.2">
      <c r="A2" s="7" t="s">
        <v>12</v>
      </c>
      <c r="B2" s="8" t="s">
        <v>17</v>
      </c>
      <c r="C2" s="8" t="s">
        <v>13</v>
      </c>
      <c r="D2" s="10" t="s">
        <v>105</v>
      </c>
      <c r="E2" s="11" t="s">
        <v>5</v>
      </c>
    </row>
    <row r="3" spans="1:5" x14ac:dyDescent="0.2">
      <c r="A3" s="2" t="s">
        <v>3</v>
      </c>
      <c r="B3" s="3">
        <v>29360</v>
      </c>
      <c r="C3" s="3">
        <v>86591</v>
      </c>
      <c r="D3" s="12">
        <f>SUM(GovByCongressionalDistrict2General[[#This Row],[Part of Nassau County Vote Results]:[Part of Suffolk County Vote Results]])</f>
        <v>115951</v>
      </c>
      <c r="E3" s="13">
        <f>SUM(D3,D7,D8,D9)</f>
        <v>121859</v>
      </c>
    </row>
    <row r="4" spans="1:5" x14ac:dyDescent="0.2">
      <c r="A4" s="2" t="s">
        <v>14</v>
      </c>
      <c r="B4" s="3">
        <v>37843</v>
      </c>
      <c r="C4" s="3">
        <v>64252</v>
      </c>
      <c r="D4" s="12">
        <f>SUM(GovByCongressionalDistrict2General[[#This Row],[Part of Nassau County Vote Results]:[Part of Suffolk County Vote Results]])</f>
        <v>102095</v>
      </c>
      <c r="E4" s="13">
        <f>SUM(D4,D5,D10)</f>
        <v>113904</v>
      </c>
    </row>
    <row r="5" spans="1:5" x14ac:dyDescent="0.2">
      <c r="A5" s="2" t="s">
        <v>15</v>
      </c>
      <c r="B5" s="3">
        <v>3730</v>
      </c>
      <c r="C5" s="3">
        <v>7340</v>
      </c>
      <c r="D5" s="12">
        <f>SUM(GovByCongressionalDistrict2General[[#This Row],[Part of Nassau County Vote Results]:[Part of Suffolk County Vote Results]])</f>
        <v>11070</v>
      </c>
      <c r="E5" s="14"/>
    </row>
    <row r="6" spans="1:5" x14ac:dyDescent="0.2">
      <c r="A6" s="2" t="s">
        <v>6</v>
      </c>
      <c r="B6" s="3">
        <v>611</v>
      </c>
      <c r="C6" s="3">
        <v>1532</v>
      </c>
      <c r="D6" s="12">
        <f>SUM(GovByCongressionalDistrict2General[[#This Row],[Part of Nassau County Vote Results]:[Part of Suffolk County Vote Results]])</f>
        <v>2143</v>
      </c>
      <c r="E6" s="13">
        <f>GovByCongressionalDistrict2General[[#This Row],[Total Votes by Party]]</f>
        <v>2143</v>
      </c>
    </row>
    <row r="7" spans="1:5" x14ac:dyDescent="0.2">
      <c r="A7" s="2" t="s">
        <v>7</v>
      </c>
      <c r="B7" s="3">
        <v>655</v>
      </c>
      <c r="C7" s="3">
        <v>1801</v>
      </c>
      <c r="D7" s="12">
        <f>SUM(GovByCongressionalDistrict2General[[#This Row],[Part of Nassau County Vote Results]:[Part of Suffolk County Vote Results]])</f>
        <v>2456</v>
      </c>
      <c r="E7" s="14"/>
    </row>
    <row r="8" spans="1:5" x14ac:dyDescent="0.2">
      <c r="A8" s="2" t="s">
        <v>8</v>
      </c>
      <c r="B8" s="3">
        <v>520</v>
      </c>
      <c r="C8" s="3">
        <v>1733</v>
      </c>
      <c r="D8" s="12">
        <f>SUM(GovByCongressionalDistrict2General[[#This Row],[Part of Nassau County Vote Results]:[Part of Suffolk County Vote Results]])</f>
        <v>2253</v>
      </c>
      <c r="E8" s="14"/>
    </row>
    <row r="9" spans="1:5" x14ac:dyDescent="0.2">
      <c r="A9" s="2" t="s">
        <v>9</v>
      </c>
      <c r="B9" s="3">
        <v>289</v>
      </c>
      <c r="C9" s="3">
        <v>910</v>
      </c>
      <c r="D9" s="12">
        <f>SUM(GovByCongressionalDistrict2General[[#This Row],[Part of Nassau County Vote Results]:[Part of Suffolk County Vote Results]])</f>
        <v>1199</v>
      </c>
      <c r="E9" s="14"/>
    </row>
    <row r="10" spans="1:5" x14ac:dyDescent="0.2">
      <c r="A10" s="2" t="s">
        <v>16</v>
      </c>
      <c r="B10" s="3">
        <v>251</v>
      </c>
      <c r="C10" s="3">
        <v>488</v>
      </c>
      <c r="D10" s="12">
        <f>SUM(GovByCongressionalDistrict2General[[#This Row],[Part of Nassau County Vote Results]:[Part of Suffolk County Vote Results]])</f>
        <v>739</v>
      </c>
      <c r="E10" s="14"/>
    </row>
    <row r="11" spans="1:5" x14ac:dyDescent="0.2">
      <c r="A11" s="2" t="s">
        <v>10</v>
      </c>
      <c r="B11" s="3">
        <v>571</v>
      </c>
      <c r="C11" s="3">
        <v>1222</v>
      </c>
      <c r="D11" s="12">
        <f>SUM(GovByCongressionalDistrict2General[[#This Row],[Part of Nassau County Vote Results]:[Part of Suffolk County Vote Results]])</f>
        <v>1793</v>
      </c>
      <c r="E11" s="13">
        <f>GovByCongressionalDistrict2General[[#This Row],[Total Votes by Party]]</f>
        <v>1793</v>
      </c>
    </row>
    <row r="12" spans="1:5" x14ac:dyDescent="0.2">
      <c r="A12" s="4" t="s">
        <v>11</v>
      </c>
      <c r="B12" s="3">
        <v>344</v>
      </c>
      <c r="C12" s="3">
        <v>870</v>
      </c>
      <c r="D12" s="12">
        <f>SUM(GovByCongressionalDistrict2General[[#This Row],[Part of Nassau County Vote Results]:[Part of Suffolk County Vote Results]])</f>
        <v>1214</v>
      </c>
      <c r="E12" s="13">
        <f>GovByCongressionalDistrict2General[[#This Row],[Total Votes by Party]]</f>
        <v>1214</v>
      </c>
    </row>
    <row r="13" spans="1:5" x14ac:dyDescent="0.2">
      <c r="A13" s="4" t="s">
        <v>0</v>
      </c>
      <c r="B13" s="3">
        <v>1866</v>
      </c>
      <c r="C13" s="3">
        <v>2422</v>
      </c>
      <c r="D13" s="12">
        <f>SUM(GovByCongressionalDistrict2General[[#This Row],[Part of Nassau County Vote Results]:[Part of Suffolk County Vote Results]])</f>
        <v>4288</v>
      </c>
      <c r="E13" s="14"/>
    </row>
    <row r="14" spans="1:5" x14ac:dyDescent="0.2">
      <c r="A14" s="4" t="s">
        <v>1</v>
      </c>
      <c r="B14" s="3">
        <v>157</v>
      </c>
      <c r="C14" s="3">
        <v>154</v>
      </c>
      <c r="D14" s="12">
        <f>SUM(GovByCongressionalDistrict2General[[#This Row],[Part of Nassau County Vote Results]:[Part of Suffolk County Vote Results]])</f>
        <v>311</v>
      </c>
      <c r="E14" s="14"/>
    </row>
    <row r="15" spans="1:5" x14ac:dyDescent="0.2">
      <c r="A15" s="4" t="s">
        <v>2</v>
      </c>
      <c r="B15" s="5">
        <v>42</v>
      </c>
      <c r="C15" s="5">
        <v>42</v>
      </c>
      <c r="D15" s="12">
        <f>SUM(GovByCongressionalDistrict2General[[#This Row],[Part of Nassau County Vote Results]:[Part of Suffolk County Vote Results]])</f>
        <v>84</v>
      </c>
      <c r="E15" s="14"/>
    </row>
    <row r="16" spans="1:5" hidden="1" x14ac:dyDescent="0.2">
      <c r="A16" s="4" t="s">
        <v>4</v>
      </c>
      <c r="B16" s="6">
        <f>SUBTOTAL(109,GovByCongressionalDistrict2General[Part of Nassau County Vote Results])</f>
        <v>76239</v>
      </c>
      <c r="C16" s="6">
        <f>SUBTOTAL(109,GovByCongressionalDistrict2General[Part of Suffolk County Vote Results])</f>
        <v>169357</v>
      </c>
      <c r="D16" s="6"/>
      <c r="E16" s="9"/>
    </row>
    <row r="17" spans="2:2" x14ac:dyDescent="0.2">
      <c r="B17" s="15"/>
    </row>
  </sheetData>
  <pageMargins left="0.7" right="0.7" top="0.75" bottom="0.75" header="0.3" footer="0.3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AF18C-8E82-418A-879B-A3CBC5DA6E0E}">
  <dimension ref="A1:H16"/>
  <sheetViews>
    <sheetView workbookViewId="0">
      <selection activeCell="B19" sqref="B19"/>
    </sheetView>
  </sheetViews>
  <sheetFormatPr defaultRowHeight="12.75" x14ac:dyDescent="0.2"/>
  <cols>
    <col min="1" max="1" width="25.5703125" customWidth="1"/>
    <col min="2" max="8" width="20.5703125" customWidth="1"/>
    <col min="9" max="10" width="23.5703125" customWidth="1"/>
  </cols>
  <sheetData>
    <row r="1" spans="1:8" ht="24.75" customHeight="1" x14ac:dyDescent="0.2">
      <c r="A1" s="1" t="s">
        <v>81</v>
      </c>
    </row>
    <row r="2" spans="1:8" ht="25.5" x14ac:dyDescent="0.2">
      <c r="A2" s="7" t="s">
        <v>12</v>
      </c>
      <c r="B2" s="8" t="s">
        <v>82</v>
      </c>
      <c r="C2" s="8" t="s">
        <v>83</v>
      </c>
      <c r="D2" s="8" t="s">
        <v>80</v>
      </c>
      <c r="E2" s="8" t="s">
        <v>27</v>
      </c>
      <c r="F2" s="8" t="s">
        <v>28</v>
      </c>
      <c r="G2" s="10" t="s">
        <v>105</v>
      </c>
      <c r="H2" s="11" t="s">
        <v>5</v>
      </c>
    </row>
    <row r="3" spans="1:8" x14ac:dyDescent="0.2">
      <c r="A3" s="2" t="s">
        <v>3</v>
      </c>
      <c r="B3" s="3">
        <v>54909</v>
      </c>
      <c r="C3" s="3">
        <v>22128</v>
      </c>
      <c r="D3" s="3">
        <v>3075</v>
      </c>
      <c r="E3" s="3">
        <v>13072</v>
      </c>
      <c r="F3" s="3">
        <v>22778</v>
      </c>
      <c r="G3" s="12">
        <f>SUM(GovByCongressionalDistrict20General[[#This Row],[Albany County Vote Results]:[Part of Saratoga County Vote Results]])</f>
        <v>115962</v>
      </c>
      <c r="H3" s="13">
        <f>SUM(G3,G7,G8,G9)</f>
        <v>126083</v>
      </c>
    </row>
    <row r="4" spans="1:8" x14ac:dyDescent="0.2">
      <c r="A4" s="2" t="s">
        <v>14</v>
      </c>
      <c r="B4" s="3">
        <v>38357</v>
      </c>
      <c r="C4" s="3">
        <v>23344</v>
      </c>
      <c r="D4" s="3">
        <v>5737</v>
      </c>
      <c r="E4" s="3">
        <v>12086</v>
      </c>
      <c r="F4" s="3">
        <v>25987</v>
      </c>
      <c r="G4" s="12">
        <f>SUM(GovByCongressionalDistrict20General[[#This Row],[Albany County Vote Results]:[Part of Saratoga County Vote Results]])</f>
        <v>105511</v>
      </c>
      <c r="H4" s="13">
        <f>SUM(G4,G5,G10)</f>
        <v>125435</v>
      </c>
    </row>
    <row r="5" spans="1:8" x14ac:dyDescent="0.2">
      <c r="A5" s="2" t="s">
        <v>15</v>
      </c>
      <c r="B5" s="3">
        <v>6725</v>
      </c>
      <c r="C5" s="3">
        <v>3719</v>
      </c>
      <c r="D5" s="3">
        <v>913</v>
      </c>
      <c r="E5" s="3">
        <v>2338</v>
      </c>
      <c r="F5" s="3">
        <v>4108</v>
      </c>
      <c r="G5" s="12">
        <f>SUM(GovByCongressionalDistrict20General[[#This Row],[Albany County Vote Results]:[Part of Saratoga County Vote Results]])</f>
        <v>17803</v>
      </c>
      <c r="H5" s="14"/>
    </row>
    <row r="6" spans="1:8" x14ac:dyDescent="0.2">
      <c r="A6" s="2" t="s">
        <v>6</v>
      </c>
      <c r="B6" s="3">
        <v>3543</v>
      </c>
      <c r="C6" s="3">
        <v>1379</v>
      </c>
      <c r="D6" s="3">
        <v>168</v>
      </c>
      <c r="E6" s="3">
        <v>1012</v>
      </c>
      <c r="F6" s="3">
        <v>1278</v>
      </c>
      <c r="G6" s="12">
        <f>SUM(GovByCongressionalDistrict20General[[#This Row],[Albany County Vote Results]:[Part of Saratoga County Vote Results]])</f>
        <v>7380</v>
      </c>
      <c r="H6" s="13">
        <f>GovByCongressionalDistrict20General[[#This Row],[Total Votes by Party]]</f>
        <v>7380</v>
      </c>
    </row>
    <row r="7" spans="1:8" x14ac:dyDescent="0.2">
      <c r="A7" s="2" t="s">
        <v>7</v>
      </c>
      <c r="B7" s="3">
        <v>2489</v>
      </c>
      <c r="C7" s="3">
        <v>827</v>
      </c>
      <c r="D7" s="3">
        <v>76</v>
      </c>
      <c r="E7" s="3">
        <v>574</v>
      </c>
      <c r="F7" s="3">
        <v>710</v>
      </c>
      <c r="G7" s="12">
        <f>SUM(GovByCongressionalDistrict20General[[#This Row],[Albany County Vote Results]:[Part of Saratoga County Vote Results]])</f>
        <v>4676</v>
      </c>
      <c r="H7" s="14"/>
    </row>
    <row r="8" spans="1:8" x14ac:dyDescent="0.2">
      <c r="A8" s="2" t="s">
        <v>8</v>
      </c>
      <c r="B8" s="3">
        <v>1408</v>
      </c>
      <c r="C8" s="3">
        <v>699</v>
      </c>
      <c r="D8" s="3">
        <v>108</v>
      </c>
      <c r="E8" s="3">
        <v>574</v>
      </c>
      <c r="F8" s="3">
        <v>806</v>
      </c>
      <c r="G8" s="12">
        <f>SUM(GovByCongressionalDistrict20General[[#This Row],[Albany County Vote Results]:[Part of Saratoga County Vote Results]])</f>
        <v>3595</v>
      </c>
      <c r="H8" s="14"/>
    </row>
    <row r="9" spans="1:8" x14ac:dyDescent="0.2">
      <c r="A9" s="2" t="s">
        <v>9</v>
      </c>
      <c r="B9" s="3">
        <v>886</v>
      </c>
      <c r="C9" s="3">
        <v>307</v>
      </c>
      <c r="D9" s="3">
        <v>43</v>
      </c>
      <c r="E9" s="3">
        <v>255</v>
      </c>
      <c r="F9" s="3">
        <v>359</v>
      </c>
      <c r="G9" s="12">
        <f>SUM(GovByCongressionalDistrict20General[[#This Row],[Albany County Vote Results]:[Part of Saratoga County Vote Results]])</f>
        <v>1850</v>
      </c>
      <c r="H9" s="14"/>
    </row>
    <row r="10" spans="1:8" x14ac:dyDescent="0.2">
      <c r="A10" s="2" t="s">
        <v>16</v>
      </c>
      <c r="B10" s="3">
        <v>835</v>
      </c>
      <c r="C10" s="3">
        <v>411</v>
      </c>
      <c r="D10" s="3">
        <v>93</v>
      </c>
      <c r="E10" s="3">
        <v>331</v>
      </c>
      <c r="F10" s="3">
        <v>451</v>
      </c>
      <c r="G10" s="12">
        <f>SUM(GovByCongressionalDistrict20General[[#This Row],[Albany County Vote Results]:[Part of Saratoga County Vote Results]])</f>
        <v>2121</v>
      </c>
      <c r="H10" s="14"/>
    </row>
    <row r="11" spans="1:8" x14ac:dyDescent="0.2">
      <c r="A11" s="2" t="s">
        <v>10</v>
      </c>
      <c r="B11" s="3">
        <v>1867</v>
      </c>
      <c r="C11" s="3">
        <v>1170</v>
      </c>
      <c r="D11" s="3">
        <v>245</v>
      </c>
      <c r="E11" s="3">
        <v>688</v>
      </c>
      <c r="F11" s="3">
        <v>1174</v>
      </c>
      <c r="G11" s="12">
        <f>SUM(GovByCongressionalDistrict20General[[#This Row],[Albany County Vote Results]:[Part of Saratoga County Vote Results]])</f>
        <v>5144</v>
      </c>
      <c r="H11" s="13">
        <f>GovByCongressionalDistrict20General[[#This Row],[Total Votes by Party]]</f>
        <v>5144</v>
      </c>
    </row>
    <row r="12" spans="1:8" x14ac:dyDescent="0.2">
      <c r="A12" s="4" t="s">
        <v>11</v>
      </c>
      <c r="B12" s="3">
        <v>3007</v>
      </c>
      <c r="C12" s="3">
        <v>882</v>
      </c>
      <c r="D12" s="3">
        <v>127</v>
      </c>
      <c r="E12" s="3">
        <v>729</v>
      </c>
      <c r="F12" s="3">
        <v>1099</v>
      </c>
      <c r="G12" s="12">
        <f>SUM(GovByCongressionalDistrict20General[[#This Row],[Albany County Vote Results]:[Part of Saratoga County Vote Results]])</f>
        <v>5844</v>
      </c>
      <c r="H12" s="13">
        <f>GovByCongressionalDistrict20General[[#This Row],[Total Votes by Party]]</f>
        <v>5844</v>
      </c>
    </row>
    <row r="13" spans="1:8" x14ac:dyDescent="0.2">
      <c r="A13" s="4" t="s">
        <v>0</v>
      </c>
      <c r="B13" s="3">
        <v>2807</v>
      </c>
      <c r="C13" s="3">
        <v>791</v>
      </c>
      <c r="D13" s="3">
        <v>297</v>
      </c>
      <c r="E13" s="3">
        <v>1017</v>
      </c>
      <c r="F13" s="3">
        <v>1190</v>
      </c>
      <c r="G13" s="12">
        <f>SUM(GovByCongressionalDistrict20General[[#This Row],[Albany County Vote Results]:[Part of Saratoga County Vote Results]])</f>
        <v>6102</v>
      </c>
      <c r="H13" s="14"/>
    </row>
    <row r="14" spans="1:8" x14ac:dyDescent="0.2">
      <c r="A14" s="4" t="s">
        <v>1</v>
      </c>
      <c r="B14" s="3">
        <v>268</v>
      </c>
      <c r="C14" s="3">
        <v>269</v>
      </c>
      <c r="D14" s="3">
        <v>15</v>
      </c>
      <c r="E14" s="3">
        <v>2</v>
      </c>
      <c r="F14" s="3">
        <v>41</v>
      </c>
      <c r="G14" s="12">
        <f>SUM(GovByCongressionalDistrict20General[[#This Row],[Albany County Vote Results]:[Part of Saratoga County Vote Results]])</f>
        <v>595</v>
      </c>
      <c r="H14" s="14"/>
    </row>
    <row r="15" spans="1:8" x14ac:dyDescent="0.2">
      <c r="A15" s="4" t="s">
        <v>2</v>
      </c>
      <c r="B15" s="5">
        <v>195</v>
      </c>
      <c r="C15" s="5">
        <v>60</v>
      </c>
      <c r="D15" s="5">
        <v>7</v>
      </c>
      <c r="E15" s="5">
        <v>30</v>
      </c>
      <c r="F15" s="5">
        <v>52</v>
      </c>
      <c r="G15" s="12">
        <f>SUM(GovByCongressionalDistrict20General[[#This Row],[Albany County Vote Results]:[Part of Saratoga County Vote Results]])</f>
        <v>344</v>
      </c>
      <c r="H15" s="14"/>
    </row>
    <row r="16" spans="1:8" hidden="1" x14ac:dyDescent="0.2">
      <c r="A16" s="4" t="s">
        <v>4</v>
      </c>
      <c r="B16" s="6">
        <f>SUBTOTAL(109,GovByCongressionalDistrict20General[Albany County Vote Results])</f>
        <v>117296</v>
      </c>
      <c r="C16" s="6"/>
      <c r="D16" s="6"/>
      <c r="E16" s="6"/>
      <c r="F16" s="6">
        <f>SUBTOTAL(109,GovByCongressionalDistrict20General[Part of Saratoga County Vote Results])</f>
        <v>60033</v>
      </c>
      <c r="G16" s="6"/>
      <c r="H16" s="9"/>
    </row>
  </sheetData>
  <pageMargins left="0.7" right="0.7" top="0.75" bottom="0.75" header="0.3" footer="0.3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39DF0-0EBA-4897-9CD4-3E3BD6E30ECD}">
  <dimension ref="A1:O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15" width="20.5703125" customWidth="1"/>
    <col min="16" max="17" width="23.5703125" customWidth="1"/>
  </cols>
  <sheetData>
    <row r="1" spans="1:15" ht="24.75" customHeight="1" x14ac:dyDescent="0.2">
      <c r="A1" s="1" t="s">
        <v>84</v>
      </c>
    </row>
    <row r="2" spans="1:15" ht="25.5" x14ac:dyDescent="0.2">
      <c r="A2" s="7" t="s">
        <v>12</v>
      </c>
      <c r="B2" s="8" t="s">
        <v>31</v>
      </c>
      <c r="C2" s="8" t="s">
        <v>29</v>
      </c>
      <c r="D2" s="8" t="s">
        <v>32</v>
      </c>
      <c r="E2" s="8" t="s">
        <v>34</v>
      </c>
      <c r="F2" s="8" t="s">
        <v>35</v>
      </c>
      <c r="G2" s="8" t="s">
        <v>85</v>
      </c>
      <c r="H2" s="8" t="s">
        <v>33</v>
      </c>
      <c r="I2" s="8" t="s">
        <v>86</v>
      </c>
      <c r="J2" s="8" t="s">
        <v>30</v>
      </c>
      <c r="K2" s="8" t="s">
        <v>87</v>
      </c>
      <c r="L2" s="8" t="s">
        <v>23</v>
      </c>
      <c r="M2" s="8" t="s">
        <v>28</v>
      </c>
      <c r="N2" s="10" t="s">
        <v>105</v>
      </c>
      <c r="O2" s="11" t="s">
        <v>5</v>
      </c>
    </row>
    <row r="3" spans="1:15" x14ac:dyDescent="0.2">
      <c r="A3" s="2" t="s">
        <v>3</v>
      </c>
      <c r="B3" s="3">
        <v>10591</v>
      </c>
      <c r="C3" s="3">
        <v>6050</v>
      </c>
      <c r="D3" s="3">
        <v>5132</v>
      </c>
      <c r="E3" s="3">
        <v>3846</v>
      </c>
      <c r="F3" s="3">
        <v>676</v>
      </c>
      <c r="G3" s="3">
        <v>8284</v>
      </c>
      <c r="H3" s="3">
        <v>1718</v>
      </c>
      <c r="I3" s="3">
        <v>10678</v>
      </c>
      <c r="J3" s="3">
        <v>9148</v>
      </c>
      <c r="K3" s="3">
        <v>5964</v>
      </c>
      <c r="L3" s="3">
        <v>693</v>
      </c>
      <c r="M3" s="3">
        <v>11597</v>
      </c>
      <c r="N3" s="12">
        <f>SUM(GovByCongressionalDistrict21General[[#This Row],[Clinton County Vote Results]:[Part of Saratoga County Vote Results]])</f>
        <v>74377</v>
      </c>
      <c r="O3" s="13">
        <f>SUM(N3,N7,N8,N9)</f>
        <v>79775</v>
      </c>
    </row>
    <row r="4" spans="1:15" x14ac:dyDescent="0.2">
      <c r="A4" s="2" t="s">
        <v>14</v>
      </c>
      <c r="B4" s="3">
        <v>12037</v>
      </c>
      <c r="C4" s="3">
        <v>6166</v>
      </c>
      <c r="D4" s="3">
        <v>6463</v>
      </c>
      <c r="E4" s="3">
        <v>10717</v>
      </c>
      <c r="F4" s="3">
        <v>1606</v>
      </c>
      <c r="G4" s="3">
        <v>17092</v>
      </c>
      <c r="H4" s="3">
        <v>5945</v>
      </c>
      <c r="I4" s="3">
        <v>16632</v>
      </c>
      <c r="J4" s="3">
        <v>13061</v>
      </c>
      <c r="K4" s="3">
        <v>11330</v>
      </c>
      <c r="L4" s="3">
        <v>1648</v>
      </c>
      <c r="M4" s="3">
        <v>18805</v>
      </c>
      <c r="N4" s="12">
        <f>SUM(GovByCongressionalDistrict21General[[#This Row],[Clinton County Vote Results]:[Part of Saratoga County Vote Results]])</f>
        <v>121502</v>
      </c>
      <c r="O4" s="13">
        <f>SUM(N4,N5,N10)</f>
        <v>136140</v>
      </c>
    </row>
    <row r="5" spans="1:15" x14ac:dyDescent="0.2">
      <c r="A5" s="2" t="s">
        <v>15</v>
      </c>
      <c r="B5" s="3">
        <v>1000</v>
      </c>
      <c r="C5" s="3">
        <v>461</v>
      </c>
      <c r="D5" s="3">
        <v>463</v>
      </c>
      <c r="E5" s="3">
        <v>1079</v>
      </c>
      <c r="F5" s="3">
        <v>172</v>
      </c>
      <c r="G5" s="3">
        <v>1737</v>
      </c>
      <c r="H5" s="3">
        <v>534</v>
      </c>
      <c r="I5" s="3">
        <v>1762</v>
      </c>
      <c r="J5" s="3">
        <v>1460</v>
      </c>
      <c r="K5" s="3">
        <v>1395</v>
      </c>
      <c r="L5" s="3">
        <v>177</v>
      </c>
      <c r="M5" s="3">
        <v>2710</v>
      </c>
      <c r="N5" s="12">
        <f>SUM(GovByCongressionalDistrict21General[[#This Row],[Clinton County Vote Results]:[Part of Saratoga County Vote Results]])</f>
        <v>12950</v>
      </c>
      <c r="O5" s="14"/>
    </row>
    <row r="6" spans="1:15" x14ac:dyDescent="0.2">
      <c r="A6" s="2" t="s">
        <v>6</v>
      </c>
      <c r="B6" s="3">
        <v>391</v>
      </c>
      <c r="C6" s="3">
        <v>240</v>
      </c>
      <c r="D6" s="3">
        <v>236</v>
      </c>
      <c r="E6" s="3">
        <v>203</v>
      </c>
      <c r="F6" s="3">
        <v>23</v>
      </c>
      <c r="G6" s="3">
        <v>401</v>
      </c>
      <c r="H6" s="3">
        <v>102</v>
      </c>
      <c r="I6" s="3">
        <v>538</v>
      </c>
      <c r="J6" s="3">
        <v>642</v>
      </c>
      <c r="K6" s="3">
        <v>453</v>
      </c>
      <c r="L6" s="3">
        <v>43</v>
      </c>
      <c r="M6" s="3">
        <v>817</v>
      </c>
      <c r="N6" s="12">
        <f>SUM(GovByCongressionalDistrict21General[[#This Row],[Clinton County Vote Results]:[Part of Saratoga County Vote Results]])</f>
        <v>4089</v>
      </c>
      <c r="O6" s="13">
        <f>GovByCongressionalDistrict21General[[#This Row],[Total Votes by Party]]</f>
        <v>4089</v>
      </c>
    </row>
    <row r="7" spans="1:15" x14ac:dyDescent="0.2">
      <c r="A7" s="2" t="s">
        <v>7</v>
      </c>
      <c r="B7" s="3">
        <v>361</v>
      </c>
      <c r="C7" s="3">
        <v>168</v>
      </c>
      <c r="D7" s="3">
        <v>119</v>
      </c>
      <c r="E7" s="3">
        <v>85</v>
      </c>
      <c r="F7" s="3">
        <v>19</v>
      </c>
      <c r="G7" s="3">
        <v>178</v>
      </c>
      <c r="H7" s="3">
        <v>34</v>
      </c>
      <c r="I7" s="3">
        <v>281</v>
      </c>
      <c r="J7" s="3">
        <v>220</v>
      </c>
      <c r="K7" s="3">
        <v>167</v>
      </c>
      <c r="L7" s="3">
        <v>9</v>
      </c>
      <c r="M7" s="3">
        <v>330</v>
      </c>
      <c r="N7" s="12">
        <f>SUM(GovByCongressionalDistrict21General[[#This Row],[Clinton County Vote Results]:[Part of Saratoga County Vote Results]])</f>
        <v>1971</v>
      </c>
      <c r="O7" s="14"/>
    </row>
    <row r="8" spans="1:15" x14ac:dyDescent="0.2">
      <c r="A8" s="2" t="s">
        <v>8</v>
      </c>
      <c r="B8" s="3">
        <v>434</v>
      </c>
      <c r="C8" s="3">
        <v>196</v>
      </c>
      <c r="D8" s="3">
        <v>177</v>
      </c>
      <c r="E8" s="3">
        <v>101</v>
      </c>
      <c r="F8" s="3">
        <v>17</v>
      </c>
      <c r="G8" s="3">
        <v>293</v>
      </c>
      <c r="H8" s="3">
        <v>71</v>
      </c>
      <c r="I8" s="3">
        <v>280</v>
      </c>
      <c r="J8" s="3">
        <v>314</v>
      </c>
      <c r="K8" s="3">
        <v>198</v>
      </c>
      <c r="L8" s="3">
        <v>20</v>
      </c>
      <c r="M8" s="3">
        <v>378</v>
      </c>
      <c r="N8" s="12">
        <f>SUM(GovByCongressionalDistrict21General[[#This Row],[Clinton County Vote Results]:[Part of Saratoga County Vote Results]])</f>
        <v>2479</v>
      </c>
      <c r="O8" s="14"/>
    </row>
    <row r="9" spans="1:15" x14ac:dyDescent="0.2">
      <c r="A9" s="2" t="s">
        <v>9</v>
      </c>
      <c r="B9" s="3">
        <v>99</v>
      </c>
      <c r="C9" s="3">
        <v>75</v>
      </c>
      <c r="D9" s="3">
        <v>44</v>
      </c>
      <c r="E9" s="3">
        <v>48</v>
      </c>
      <c r="F9" s="3">
        <v>10</v>
      </c>
      <c r="G9" s="3">
        <v>107</v>
      </c>
      <c r="H9" s="3">
        <v>31</v>
      </c>
      <c r="I9" s="3">
        <v>137</v>
      </c>
      <c r="J9" s="3">
        <v>133</v>
      </c>
      <c r="K9" s="3">
        <v>82</v>
      </c>
      <c r="L9" s="3">
        <v>7</v>
      </c>
      <c r="M9" s="3">
        <v>175</v>
      </c>
      <c r="N9" s="12">
        <f>SUM(GovByCongressionalDistrict21General[[#This Row],[Clinton County Vote Results]:[Part of Saratoga County Vote Results]])</f>
        <v>948</v>
      </c>
      <c r="O9" s="14"/>
    </row>
    <row r="10" spans="1:15" x14ac:dyDescent="0.2">
      <c r="A10" s="2" t="s">
        <v>16</v>
      </c>
      <c r="B10" s="3">
        <v>190</v>
      </c>
      <c r="C10" s="3">
        <v>78</v>
      </c>
      <c r="D10" s="3">
        <v>81</v>
      </c>
      <c r="E10" s="3">
        <v>105</v>
      </c>
      <c r="F10" s="3">
        <v>14</v>
      </c>
      <c r="G10" s="3">
        <v>235</v>
      </c>
      <c r="H10" s="3">
        <v>74</v>
      </c>
      <c r="I10" s="3">
        <v>238</v>
      </c>
      <c r="J10" s="3">
        <v>224</v>
      </c>
      <c r="K10" s="3">
        <v>154</v>
      </c>
      <c r="L10" s="3">
        <v>19</v>
      </c>
      <c r="M10" s="3">
        <v>276</v>
      </c>
      <c r="N10" s="12">
        <f>SUM(GovByCongressionalDistrict21General[[#This Row],[Clinton County Vote Results]:[Part of Saratoga County Vote Results]])</f>
        <v>1688</v>
      </c>
      <c r="O10" s="14"/>
    </row>
    <row r="11" spans="1:15" x14ac:dyDescent="0.2">
      <c r="A11" s="2" t="s">
        <v>10</v>
      </c>
      <c r="B11" s="3">
        <v>733</v>
      </c>
      <c r="C11" s="3">
        <v>262</v>
      </c>
      <c r="D11" s="3">
        <v>1053</v>
      </c>
      <c r="E11" s="3">
        <v>476</v>
      </c>
      <c r="F11" s="3">
        <v>210</v>
      </c>
      <c r="G11" s="3">
        <v>867</v>
      </c>
      <c r="H11" s="3">
        <v>412</v>
      </c>
      <c r="I11" s="3">
        <v>1530</v>
      </c>
      <c r="J11" s="3">
        <v>687</v>
      </c>
      <c r="K11" s="3">
        <v>571</v>
      </c>
      <c r="L11" s="3">
        <v>104</v>
      </c>
      <c r="M11" s="3">
        <v>863</v>
      </c>
      <c r="N11" s="12">
        <f>SUM(GovByCongressionalDistrict21General[[#This Row],[Clinton County Vote Results]:[Part of Saratoga County Vote Results]])</f>
        <v>7768</v>
      </c>
      <c r="O11" s="13">
        <f>GovByCongressionalDistrict21General[[#This Row],[Total Votes by Party]]</f>
        <v>7768</v>
      </c>
    </row>
    <row r="12" spans="1:15" x14ac:dyDescent="0.2">
      <c r="A12" s="4" t="s">
        <v>11</v>
      </c>
      <c r="B12" s="3">
        <v>283</v>
      </c>
      <c r="C12" s="3">
        <v>167</v>
      </c>
      <c r="D12" s="3">
        <v>257</v>
      </c>
      <c r="E12" s="3">
        <v>159</v>
      </c>
      <c r="F12" s="3">
        <v>31</v>
      </c>
      <c r="G12" s="3">
        <v>605</v>
      </c>
      <c r="H12" s="3">
        <v>130</v>
      </c>
      <c r="I12" s="3">
        <v>402</v>
      </c>
      <c r="J12" s="3">
        <v>204</v>
      </c>
      <c r="K12" s="3">
        <v>199</v>
      </c>
      <c r="L12" s="3">
        <v>52</v>
      </c>
      <c r="M12" s="3">
        <v>554</v>
      </c>
      <c r="N12" s="12">
        <f>SUM(GovByCongressionalDistrict21General[[#This Row],[Clinton County Vote Results]:[Part of Saratoga County Vote Results]])</f>
        <v>3043</v>
      </c>
      <c r="O12" s="13">
        <f>GovByCongressionalDistrict21General[[#This Row],[Total Votes by Party]]</f>
        <v>3043</v>
      </c>
    </row>
    <row r="13" spans="1:15" x14ac:dyDescent="0.2">
      <c r="A13" s="4" t="s">
        <v>0</v>
      </c>
      <c r="B13" s="3">
        <v>985</v>
      </c>
      <c r="C13" s="3">
        <v>906</v>
      </c>
      <c r="D13" s="3">
        <v>356</v>
      </c>
      <c r="E13" s="3">
        <v>636</v>
      </c>
      <c r="F13" s="3">
        <v>82</v>
      </c>
      <c r="G13" s="3">
        <v>776</v>
      </c>
      <c r="H13" s="3">
        <v>333</v>
      </c>
      <c r="I13" s="3">
        <v>1604</v>
      </c>
      <c r="J13" s="3">
        <v>386</v>
      </c>
      <c r="K13" s="3">
        <v>195</v>
      </c>
      <c r="L13" s="3">
        <v>64</v>
      </c>
      <c r="M13" s="3">
        <v>745</v>
      </c>
      <c r="N13" s="12">
        <f>SUM(GovByCongressionalDistrict21General[[#This Row],[Clinton County Vote Results]:[Part of Saratoga County Vote Results]])</f>
        <v>7068</v>
      </c>
      <c r="O13" s="14"/>
    </row>
    <row r="14" spans="1:15" x14ac:dyDescent="0.2">
      <c r="A14" s="4" t="s">
        <v>1</v>
      </c>
      <c r="B14" s="3">
        <v>15</v>
      </c>
      <c r="C14" s="3">
        <v>0</v>
      </c>
      <c r="D14" s="3">
        <v>4</v>
      </c>
      <c r="E14" s="3">
        <v>24</v>
      </c>
      <c r="F14" s="3">
        <v>4</v>
      </c>
      <c r="G14" s="3">
        <v>80</v>
      </c>
      <c r="H14" s="3">
        <v>0</v>
      </c>
      <c r="I14" s="3">
        <v>0</v>
      </c>
      <c r="J14" s="3">
        <v>0</v>
      </c>
      <c r="K14" s="3">
        <v>12</v>
      </c>
      <c r="L14" s="3">
        <v>1</v>
      </c>
      <c r="M14" s="3">
        <v>48</v>
      </c>
      <c r="N14" s="12">
        <f>SUM(GovByCongressionalDistrict21General[[#This Row],[Clinton County Vote Results]:[Part of Saratoga County Vote Results]])</f>
        <v>188</v>
      </c>
      <c r="O14" s="14"/>
    </row>
    <row r="15" spans="1:15" x14ac:dyDescent="0.2">
      <c r="A15" s="4" t="s">
        <v>2</v>
      </c>
      <c r="B15" s="5">
        <v>15</v>
      </c>
      <c r="C15" s="5">
        <v>18</v>
      </c>
      <c r="D15" s="5">
        <v>5</v>
      </c>
      <c r="E15" s="5">
        <v>7</v>
      </c>
      <c r="F15" s="5">
        <v>0</v>
      </c>
      <c r="G15" s="5">
        <v>18</v>
      </c>
      <c r="H15" s="5">
        <v>5</v>
      </c>
      <c r="I15" s="5">
        <v>21</v>
      </c>
      <c r="J15" s="5">
        <v>15</v>
      </c>
      <c r="K15" s="5">
        <v>9</v>
      </c>
      <c r="L15" s="5">
        <v>3</v>
      </c>
      <c r="M15" s="5">
        <v>23</v>
      </c>
      <c r="N15" s="12">
        <f>SUM(GovByCongressionalDistrict21General[[#This Row],[Clinton County Vote Results]:[Part of Saratoga County Vote Results]])</f>
        <v>139</v>
      </c>
      <c r="O15" s="14"/>
    </row>
    <row r="16" spans="1:15" hidden="1" x14ac:dyDescent="0.2">
      <c r="A16" s="4" t="s">
        <v>4</v>
      </c>
      <c r="B16" s="6">
        <f>SUBTOTAL(109,GovByCongressionalDistrict21General[Clinton County Vote Results])</f>
        <v>27134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>
        <f>SUBTOTAL(109,GovByCongressionalDistrict21General[Part of Saratoga County Vote Results])</f>
        <v>37321</v>
      </c>
      <c r="N16" s="6"/>
      <c r="O16" s="9"/>
    </row>
  </sheetData>
  <pageMargins left="0.7" right="0.7" top="0.75" bottom="0.75" header="0.3" footer="0.3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99D04-414F-4486-A043-3DDF12975259}">
  <dimension ref="A1:K16"/>
  <sheetViews>
    <sheetView workbookViewId="0">
      <selection activeCell="B5" sqref="B5"/>
    </sheetView>
  </sheetViews>
  <sheetFormatPr defaultRowHeight="12.75" x14ac:dyDescent="0.2"/>
  <cols>
    <col min="1" max="1" width="25.5703125" customWidth="1"/>
    <col min="2" max="11" width="20.5703125" customWidth="1"/>
    <col min="12" max="13" width="23.5703125" customWidth="1"/>
  </cols>
  <sheetData>
    <row r="1" spans="1:11" ht="24.75" customHeight="1" x14ac:dyDescent="0.2">
      <c r="A1" s="1" t="s">
        <v>88</v>
      </c>
    </row>
    <row r="2" spans="1:11" ht="25.5" x14ac:dyDescent="0.2">
      <c r="A2" s="7" t="s">
        <v>12</v>
      </c>
      <c r="B2" s="8" t="s">
        <v>89</v>
      </c>
      <c r="C2" s="8" t="s">
        <v>90</v>
      </c>
      <c r="D2" s="8" t="s">
        <v>37</v>
      </c>
      <c r="E2" s="8" t="s">
        <v>91</v>
      </c>
      <c r="F2" s="8" t="s">
        <v>38</v>
      </c>
      <c r="G2" s="8" t="s">
        <v>23</v>
      </c>
      <c r="H2" s="8" t="s">
        <v>36</v>
      </c>
      <c r="I2" s="8" t="s">
        <v>92</v>
      </c>
      <c r="J2" s="10" t="s">
        <v>105</v>
      </c>
      <c r="K2" s="11" t="s">
        <v>5</v>
      </c>
    </row>
    <row r="3" spans="1:11" x14ac:dyDescent="0.2">
      <c r="A3" s="2" t="s">
        <v>3</v>
      </c>
      <c r="B3" s="3">
        <v>4714</v>
      </c>
      <c r="C3" s="3">
        <v>5963</v>
      </c>
      <c r="D3" s="3">
        <v>8323</v>
      </c>
      <c r="E3" s="3">
        <v>25878</v>
      </c>
      <c r="F3" s="3">
        <v>28864</v>
      </c>
      <c r="G3" s="3">
        <v>5034</v>
      </c>
      <c r="H3" s="3">
        <v>3321</v>
      </c>
      <c r="I3" s="3">
        <v>1438</v>
      </c>
      <c r="J3" s="12">
        <f>SUM(GovByCongressionalDistrict22General[[#This Row],[Chenago County Vote Results]:[Part of Tioga County Vote Results]])</f>
        <v>83535</v>
      </c>
      <c r="K3" s="13">
        <f>SUM(J3,J7,J8,J9)</f>
        <v>90154</v>
      </c>
    </row>
    <row r="4" spans="1:11" x14ac:dyDescent="0.2">
      <c r="A4" s="2" t="s">
        <v>14</v>
      </c>
      <c r="B4" s="3">
        <v>9442</v>
      </c>
      <c r="C4" s="3">
        <v>7029</v>
      </c>
      <c r="D4" s="3">
        <v>12538</v>
      </c>
      <c r="E4" s="3">
        <v>40038</v>
      </c>
      <c r="F4" s="3">
        <v>32359</v>
      </c>
      <c r="G4" s="3">
        <v>11609</v>
      </c>
      <c r="H4" s="3">
        <v>8868</v>
      </c>
      <c r="I4" s="3">
        <v>2615</v>
      </c>
      <c r="J4" s="12">
        <f>SUM(GovByCongressionalDistrict22General[[#This Row],[Chenago County Vote Results]:[Part of Tioga County Vote Results]])</f>
        <v>124498</v>
      </c>
      <c r="K4" s="13">
        <f>SUM(J4,J5,J10)</f>
        <v>139705</v>
      </c>
    </row>
    <row r="5" spans="1:11" x14ac:dyDescent="0.2">
      <c r="A5" s="2" t="s">
        <v>15</v>
      </c>
      <c r="B5" s="3">
        <v>715</v>
      </c>
      <c r="C5" s="3">
        <v>795</v>
      </c>
      <c r="D5" s="3">
        <v>1875</v>
      </c>
      <c r="E5" s="3">
        <v>4426</v>
      </c>
      <c r="F5" s="3">
        <v>3203</v>
      </c>
      <c r="G5" s="3">
        <v>1215</v>
      </c>
      <c r="H5" s="3">
        <v>1124</v>
      </c>
      <c r="I5" s="3">
        <v>218</v>
      </c>
      <c r="J5" s="12">
        <f>SUM(GovByCongressionalDistrict22General[[#This Row],[Chenago County Vote Results]:[Part of Tioga County Vote Results]])</f>
        <v>13571</v>
      </c>
      <c r="K5" s="14"/>
    </row>
    <row r="6" spans="1:11" x14ac:dyDescent="0.2">
      <c r="A6" s="2" t="s">
        <v>6</v>
      </c>
      <c r="B6" s="3">
        <v>269</v>
      </c>
      <c r="C6" s="3">
        <v>291</v>
      </c>
      <c r="D6" s="3">
        <v>510</v>
      </c>
      <c r="E6" s="3">
        <v>1084</v>
      </c>
      <c r="F6" s="3">
        <v>1311</v>
      </c>
      <c r="G6" s="3">
        <v>291</v>
      </c>
      <c r="H6" s="3">
        <v>261</v>
      </c>
      <c r="I6" s="3">
        <v>52</v>
      </c>
      <c r="J6" s="12">
        <f>SUM(GovByCongressionalDistrict22General[[#This Row],[Chenago County Vote Results]:[Part of Tioga County Vote Results]])</f>
        <v>4069</v>
      </c>
      <c r="K6" s="13">
        <f>GovByCongressionalDistrict22General[[#This Row],[Total Votes by Party]]</f>
        <v>4069</v>
      </c>
    </row>
    <row r="7" spans="1:11" x14ac:dyDescent="0.2">
      <c r="A7" s="2" t="s">
        <v>7</v>
      </c>
      <c r="B7" s="3">
        <v>139</v>
      </c>
      <c r="C7" s="3">
        <v>154</v>
      </c>
      <c r="D7" s="3">
        <v>232</v>
      </c>
      <c r="E7" s="3">
        <v>672</v>
      </c>
      <c r="F7" s="3">
        <v>1136</v>
      </c>
      <c r="G7" s="3">
        <v>99</v>
      </c>
      <c r="H7" s="3">
        <v>89</v>
      </c>
      <c r="I7" s="3">
        <v>39</v>
      </c>
      <c r="J7" s="12">
        <f>SUM(GovByCongressionalDistrict22General[[#This Row],[Chenago County Vote Results]:[Part of Tioga County Vote Results]])</f>
        <v>2560</v>
      </c>
      <c r="K7" s="14"/>
    </row>
    <row r="8" spans="1:11" x14ac:dyDescent="0.2">
      <c r="A8" s="2" t="s">
        <v>8</v>
      </c>
      <c r="B8" s="3">
        <v>155</v>
      </c>
      <c r="C8" s="3">
        <v>187</v>
      </c>
      <c r="D8" s="3">
        <v>324</v>
      </c>
      <c r="E8" s="3">
        <v>1085</v>
      </c>
      <c r="F8" s="3">
        <v>926</v>
      </c>
      <c r="G8" s="3">
        <v>160</v>
      </c>
      <c r="H8" s="3">
        <v>136</v>
      </c>
      <c r="I8" s="3">
        <v>42</v>
      </c>
      <c r="J8" s="12">
        <f>SUM(GovByCongressionalDistrict22General[[#This Row],[Chenago County Vote Results]:[Part of Tioga County Vote Results]])</f>
        <v>3015</v>
      </c>
      <c r="K8" s="14"/>
    </row>
    <row r="9" spans="1:11" x14ac:dyDescent="0.2">
      <c r="A9" s="2" t="s">
        <v>9</v>
      </c>
      <c r="B9" s="3">
        <v>61</v>
      </c>
      <c r="C9" s="3">
        <v>79</v>
      </c>
      <c r="D9" s="3">
        <v>127</v>
      </c>
      <c r="E9" s="3">
        <v>296</v>
      </c>
      <c r="F9" s="3">
        <v>377</v>
      </c>
      <c r="G9" s="3">
        <v>54</v>
      </c>
      <c r="H9" s="3">
        <v>34</v>
      </c>
      <c r="I9" s="3">
        <v>16</v>
      </c>
      <c r="J9" s="12">
        <f>SUM(GovByCongressionalDistrict22General[[#This Row],[Chenago County Vote Results]:[Part of Tioga County Vote Results]])</f>
        <v>1044</v>
      </c>
      <c r="K9" s="14"/>
    </row>
    <row r="10" spans="1:11" x14ac:dyDescent="0.2">
      <c r="A10" s="2" t="s">
        <v>16</v>
      </c>
      <c r="B10" s="3">
        <v>102</v>
      </c>
      <c r="C10" s="3">
        <v>129</v>
      </c>
      <c r="D10" s="3">
        <v>203</v>
      </c>
      <c r="E10" s="3">
        <v>474</v>
      </c>
      <c r="F10" s="3">
        <v>464</v>
      </c>
      <c r="G10" s="3">
        <v>158</v>
      </c>
      <c r="H10" s="3">
        <v>92</v>
      </c>
      <c r="I10" s="3">
        <v>14</v>
      </c>
      <c r="J10" s="12">
        <f>SUM(GovByCongressionalDistrict22General[[#This Row],[Chenago County Vote Results]:[Part of Tioga County Vote Results]])</f>
        <v>1636</v>
      </c>
      <c r="K10" s="14"/>
    </row>
    <row r="11" spans="1:11" x14ac:dyDescent="0.2">
      <c r="A11" s="2" t="s">
        <v>10</v>
      </c>
      <c r="B11" s="3">
        <v>766</v>
      </c>
      <c r="C11" s="3">
        <v>932</v>
      </c>
      <c r="D11" s="3">
        <v>961</v>
      </c>
      <c r="E11" s="3">
        <v>3180</v>
      </c>
      <c r="F11" s="3">
        <v>1974</v>
      </c>
      <c r="G11" s="3">
        <v>757</v>
      </c>
      <c r="H11" s="3">
        <v>891</v>
      </c>
      <c r="I11" s="3">
        <v>149</v>
      </c>
      <c r="J11" s="12">
        <f>SUM(GovByCongressionalDistrict22General[[#This Row],[Chenago County Vote Results]:[Part of Tioga County Vote Results]])</f>
        <v>9610</v>
      </c>
      <c r="K11" s="13">
        <f>GovByCongressionalDistrict22General[[#This Row],[Total Votes by Party]]</f>
        <v>9610</v>
      </c>
    </row>
    <row r="12" spans="1:11" x14ac:dyDescent="0.2">
      <c r="A12" s="4" t="s">
        <v>11</v>
      </c>
      <c r="B12" s="3">
        <v>223</v>
      </c>
      <c r="C12" s="3">
        <v>677</v>
      </c>
      <c r="D12" s="3">
        <v>802</v>
      </c>
      <c r="E12" s="3">
        <v>1504</v>
      </c>
      <c r="F12" s="3">
        <v>797</v>
      </c>
      <c r="G12" s="3">
        <v>249</v>
      </c>
      <c r="H12" s="3">
        <v>481</v>
      </c>
      <c r="I12" s="3">
        <v>39</v>
      </c>
      <c r="J12" s="12">
        <f>SUM(GovByCongressionalDistrict22General[[#This Row],[Chenago County Vote Results]:[Part of Tioga County Vote Results]])</f>
        <v>4772</v>
      </c>
      <c r="K12" s="13">
        <f>GovByCongressionalDistrict22General[[#This Row],[Total Votes by Party]]</f>
        <v>4772</v>
      </c>
    </row>
    <row r="13" spans="1:11" x14ac:dyDescent="0.2">
      <c r="A13" s="4" t="s">
        <v>0</v>
      </c>
      <c r="B13" s="3">
        <v>575</v>
      </c>
      <c r="C13" s="3">
        <v>619</v>
      </c>
      <c r="D13" s="3">
        <v>517</v>
      </c>
      <c r="E13" s="3">
        <v>2493</v>
      </c>
      <c r="F13" s="3">
        <v>1952</v>
      </c>
      <c r="G13" s="3">
        <v>774</v>
      </c>
      <c r="H13" s="3">
        <v>484</v>
      </c>
      <c r="I13" s="3">
        <v>153</v>
      </c>
      <c r="J13" s="12">
        <f>SUM(GovByCongressionalDistrict22General[[#This Row],[Chenago County Vote Results]:[Part of Tioga County Vote Results]])</f>
        <v>7567</v>
      </c>
      <c r="K13" s="14"/>
    </row>
    <row r="14" spans="1:11" x14ac:dyDescent="0.2">
      <c r="A14" s="4" t="s">
        <v>1</v>
      </c>
      <c r="B14" s="3">
        <v>11</v>
      </c>
      <c r="C14" s="3">
        <v>0</v>
      </c>
      <c r="D14" s="3">
        <v>17</v>
      </c>
      <c r="E14" s="3">
        <v>0</v>
      </c>
      <c r="F14" s="3">
        <v>249</v>
      </c>
      <c r="G14" s="3">
        <v>15</v>
      </c>
      <c r="H14" s="3">
        <v>23</v>
      </c>
      <c r="I14" s="3">
        <v>3</v>
      </c>
      <c r="J14" s="12">
        <f>SUM(GovByCongressionalDistrict22General[[#This Row],[Chenago County Vote Results]:[Part of Tioga County Vote Results]])</f>
        <v>318</v>
      </c>
      <c r="K14" s="14"/>
    </row>
    <row r="15" spans="1:11" x14ac:dyDescent="0.2">
      <c r="A15" s="4" t="s">
        <v>2</v>
      </c>
      <c r="B15" s="5">
        <v>10</v>
      </c>
      <c r="C15" s="5">
        <v>8</v>
      </c>
      <c r="D15" s="5">
        <v>13</v>
      </c>
      <c r="E15" s="5">
        <v>28</v>
      </c>
      <c r="F15" s="5">
        <v>50</v>
      </c>
      <c r="G15" s="5">
        <v>9</v>
      </c>
      <c r="H15" s="5">
        <v>4</v>
      </c>
      <c r="I15" s="5">
        <v>0</v>
      </c>
      <c r="J15" s="12">
        <f>SUM(GovByCongressionalDistrict22General[[#This Row],[Chenago County Vote Results]:[Part of Tioga County Vote Results]])</f>
        <v>122</v>
      </c>
      <c r="K15" s="14"/>
    </row>
    <row r="16" spans="1:11" hidden="1" x14ac:dyDescent="0.2">
      <c r="A16" s="4" t="s">
        <v>4</v>
      </c>
      <c r="B16" s="6">
        <f>SUBTOTAL(109,GovByCongressionalDistrict22General[Chenago County Vote Results])</f>
        <v>17182</v>
      </c>
      <c r="C16" s="6"/>
      <c r="D16" s="6"/>
      <c r="E16" s="6"/>
      <c r="F16" s="6"/>
      <c r="G16" s="6"/>
      <c r="H16" s="6"/>
      <c r="I16" s="6">
        <f>SUBTOTAL(109,GovByCongressionalDistrict22General[Part of Tioga County Vote Results])</f>
        <v>4778</v>
      </c>
      <c r="J16" s="6"/>
      <c r="K16" s="9"/>
    </row>
  </sheetData>
  <pageMargins left="0.7" right="0.7" top="0.75" bottom="0.75" header="0.3" footer="0.3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D4256-E3A7-4E27-A0C2-E11FAB648970}">
  <dimension ref="A1:N16"/>
  <sheetViews>
    <sheetView workbookViewId="0">
      <selection activeCell="J25" sqref="J25"/>
    </sheetView>
  </sheetViews>
  <sheetFormatPr defaultRowHeight="12.75" x14ac:dyDescent="0.2"/>
  <cols>
    <col min="1" max="1" width="25.5703125" customWidth="1"/>
    <col min="2" max="14" width="20.5703125" customWidth="1"/>
    <col min="15" max="16" width="23.5703125" customWidth="1"/>
  </cols>
  <sheetData>
    <row r="1" spans="1:14" ht="24.75" customHeight="1" x14ac:dyDescent="0.2">
      <c r="A1" s="1" t="s">
        <v>93</v>
      </c>
    </row>
    <row r="2" spans="1:14" ht="25.5" x14ac:dyDescent="0.2">
      <c r="A2" s="7" t="s">
        <v>12</v>
      </c>
      <c r="B2" s="8" t="s">
        <v>49</v>
      </c>
      <c r="C2" s="8" t="s">
        <v>50</v>
      </c>
      <c r="D2" s="8" t="s">
        <v>51</v>
      </c>
      <c r="E2" s="8" t="s">
        <v>94</v>
      </c>
      <c r="F2" s="8" t="s">
        <v>41</v>
      </c>
      <c r="G2" s="8" t="s">
        <v>95</v>
      </c>
      <c r="H2" s="8" t="s">
        <v>96</v>
      </c>
      <c r="I2" s="8" t="s">
        <v>39</v>
      </c>
      <c r="J2" s="8" t="s">
        <v>42</v>
      </c>
      <c r="K2" s="8" t="s">
        <v>97</v>
      </c>
      <c r="L2" s="8" t="s">
        <v>92</v>
      </c>
      <c r="M2" s="10" t="s">
        <v>105</v>
      </c>
      <c r="N2" s="11" t="s">
        <v>5</v>
      </c>
    </row>
    <row r="3" spans="1:14" x14ac:dyDescent="0.2">
      <c r="A3" s="2" t="s">
        <v>3</v>
      </c>
      <c r="B3" s="3">
        <v>3254</v>
      </c>
      <c r="C3" s="3">
        <v>6545</v>
      </c>
      <c r="D3" s="3">
        <v>14260</v>
      </c>
      <c r="E3" s="3">
        <v>9588</v>
      </c>
      <c r="F3" s="3">
        <v>2209</v>
      </c>
      <c r="G3" s="3">
        <v>3841</v>
      </c>
      <c r="H3" s="3">
        <v>8716</v>
      </c>
      <c r="I3" s="3">
        <v>21716</v>
      </c>
      <c r="J3" s="3">
        <v>2399</v>
      </c>
      <c r="K3" s="3">
        <v>5501</v>
      </c>
      <c r="L3" s="3">
        <v>4187</v>
      </c>
      <c r="M3" s="12">
        <f>SUM(GovByCongressionalDistrict23General[[#This Row],[Allegany County Vote Results]:[Part of Tioga County Vote Results]])</f>
        <v>82216</v>
      </c>
      <c r="N3" s="13">
        <f>SUM(M3,M7,M8,M9)</f>
        <v>89253</v>
      </c>
    </row>
    <row r="4" spans="1:14" x14ac:dyDescent="0.2">
      <c r="A4" s="2" t="s">
        <v>14</v>
      </c>
      <c r="B4" s="3">
        <v>9234</v>
      </c>
      <c r="C4" s="3">
        <v>13240</v>
      </c>
      <c r="D4" s="3">
        <v>22435</v>
      </c>
      <c r="E4" s="3">
        <v>15635</v>
      </c>
      <c r="F4" s="3">
        <v>3569</v>
      </c>
      <c r="G4" s="3">
        <v>5630</v>
      </c>
      <c r="H4" s="3">
        <v>19301</v>
      </c>
      <c r="I4" s="3">
        <v>7785</v>
      </c>
      <c r="J4" s="3">
        <v>4386</v>
      </c>
      <c r="K4" s="3">
        <v>7212</v>
      </c>
      <c r="L4" s="3">
        <v>7565</v>
      </c>
      <c r="M4" s="12">
        <f>SUM(GovByCongressionalDistrict23General[[#This Row],[Allegany County Vote Results]:[Part of Tioga County Vote Results]])</f>
        <v>115992</v>
      </c>
      <c r="N4" s="13">
        <f>SUM(M4,M5,M10)</f>
        <v>130007</v>
      </c>
    </row>
    <row r="5" spans="1:14" x14ac:dyDescent="0.2">
      <c r="A5" s="2" t="s">
        <v>15</v>
      </c>
      <c r="B5" s="3">
        <v>833</v>
      </c>
      <c r="C5" s="3">
        <v>1629</v>
      </c>
      <c r="D5" s="3">
        <v>3108</v>
      </c>
      <c r="E5" s="3">
        <v>1468</v>
      </c>
      <c r="F5" s="3">
        <v>404</v>
      </c>
      <c r="G5" s="3">
        <v>679</v>
      </c>
      <c r="H5" s="3">
        <v>1549</v>
      </c>
      <c r="I5" s="3">
        <v>918</v>
      </c>
      <c r="J5" s="3">
        <v>560</v>
      </c>
      <c r="K5" s="3">
        <v>909</v>
      </c>
      <c r="L5" s="3">
        <v>562</v>
      </c>
      <c r="M5" s="12">
        <f>SUM(GovByCongressionalDistrict23General[[#This Row],[Allegany County Vote Results]:[Part of Tioga County Vote Results]])</f>
        <v>12619</v>
      </c>
      <c r="N5" s="14"/>
    </row>
    <row r="6" spans="1:14" x14ac:dyDescent="0.2">
      <c r="A6" s="2" t="s">
        <v>6</v>
      </c>
      <c r="B6" s="3">
        <v>183</v>
      </c>
      <c r="C6" s="3">
        <v>307</v>
      </c>
      <c r="D6" s="3">
        <v>461</v>
      </c>
      <c r="E6" s="3">
        <v>354</v>
      </c>
      <c r="F6" s="3">
        <v>125</v>
      </c>
      <c r="G6" s="3">
        <v>209</v>
      </c>
      <c r="H6" s="3">
        <v>417</v>
      </c>
      <c r="I6" s="3">
        <v>1627</v>
      </c>
      <c r="J6" s="3">
        <v>110</v>
      </c>
      <c r="K6" s="3">
        <v>227</v>
      </c>
      <c r="L6" s="3">
        <v>215</v>
      </c>
      <c r="M6" s="12">
        <f>SUM(GovByCongressionalDistrict23General[[#This Row],[Allegany County Vote Results]:[Part of Tioga County Vote Results]])</f>
        <v>4235</v>
      </c>
      <c r="N6" s="13">
        <f>GovByCongressionalDistrict23General[[#This Row],[Total Votes by Party]]</f>
        <v>4235</v>
      </c>
    </row>
    <row r="7" spans="1:14" x14ac:dyDescent="0.2">
      <c r="A7" s="2" t="s">
        <v>7</v>
      </c>
      <c r="B7" s="3">
        <v>80</v>
      </c>
      <c r="C7" s="3">
        <v>146</v>
      </c>
      <c r="D7" s="3">
        <v>395</v>
      </c>
      <c r="E7" s="3">
        <v>199</v>
      </c>
      <c r="F7" s="3">
        <v>112</v>
      </c>
      <c r="G7" s="3">
        <v>115</v>
      </c>
      <c r="H7" s="3">
        <v>202</v>
      </c>
      <c r="I7" s="3">
        <v>1812</v>
      </c>
      <c r="J7" s="3">
        <v>63</v>
      </c>
      <c r="K7" s="3">
        <v>133</v>
      </c>
      <c r="L7" s="3">
        <v>111</v>
      </c>
      <c r="M7" s="12">
        <f>SUM(GovByCongressionalDistrict23General[[#This Row],[Allegany County Vote Results]:[Part of Tioga County Vote Results]])</f>
        <v>3368</v>
      </c>
      <c r="N7" s="14"/>
    </row>
    <row r="8" spans="1:14" x14ac:dyDescent="0.2">
      <c r="A8" s="2" t="s">
        <v>8</v>
      </c>
      <c r="B8" s="3">
        <v>106</v>
      </c>
      <c r="C8" s="3">
        <v>265</v>
      </c>
      <c r="D8" s="3">
        <v>594</v>
      </c>
      <c r="E8" s="3">
        <v>298</v>
      </c>
      <c r="F8" s="3">
        <v>62</v>
      </c>
      <c r="G8" s="3">
        <v>139</v>
      </c>
      <c r="H8" s="3">
        <v>280</v>
      </c>
      <c r="I8" s="3">
        <v>360</v>
      </c>
      <c r="J8" s="3">
        <v>55</v>
      </c>
      <c r="K8" s="3">
        <v>162</v>
      </c>
      <c r="L8" s="3">
        <v>101</v>
      </c>
      <c r="M8" s="12">
        <f>SUM(GovByCongressionalDistrict23General[[#This Row],[Allegany County Vote Results]:[Part of Tioga County Vote Results]])</f>
        <v>2422</v>
      </c>
      <c r="N8" s="14"/>
    </row>
    <row r="9" spans="1:14" x14ac:dyDescent="0.2">
      <c r="A9" s="2" t="s">
        <v>9</v>
      </c>
      <c r="B9" s="3">
        <v>46</v>
      </c>
      <c r="C9" s="3">
        <v>78</v>
      </c>
      <c r="D9" s="3">
        <v>198</v>
      </c>
      <c r="E9" s="3">
        <v>106</v>
      </c>
      <c r="F9" s="3">
        <v>31</v>
      </c>
      <c r="G9" s="3">
        <v>69</v>
      </c>
      <c r="H9" s="3">
        <v>112</v>
      </c>
      <c r="I9" s="3">
        <v>437</v>
      </c>
      <c r="J9" s="3">
        <v>41</v>
      </c>
      <c r="K9" s="3">
        <v>85</v>
      </c>
      <c r="L9" s="3">
        <v>44</v>
      </c>
      <c r="M9" s="12">
        <f>SUM(GovByCongressionalDistrict23General[[#This Row],[Allegany County Vote Results]:[Part of Tioga County Vote Results]])</f>
        <v>1247</v>
      </c>
      <c r="N9" s="14"/>
    </row>
    <row r="10" spans="1:14" x14ac:dyDescent="0.2">
      <c r="A10" s="2" t="s">
        <v>16</v>
      </c>
      <c r="B10" s="3">
        <v>65</v>
      </c>
      <c r="C10" s="3">
        <v>159</v>
      </c>
      <c r="D10" s="3">
        <v>280</v>
      </c>
      <c r="E10" s="3">
        <v>191</v>
      </c>
      <c r="F10" s="3">
        <v>51</v>
      </c>
      <c r="G10" s="3">
        <v>99</v>
      </c>
      <c r="H10" s="3">
        <v>185</v>
      </c>
      <c r="I10" s="3">
        <v>156</v>
      </c>
      <c r="J10" s="3">
        <v>45</v>
      </c>
      <c r="K10" s="3">
        <v>94</v>
      </c>
      <c r="L10" s="3">
        <v>71</v>
      </c>
      <c r="M10" s="12">
        <f>SUM(GovByCongressionalDistrict23General[[#This Row],[Allegany County Vote Results]:[Part of Tioga County Vote Results]])</f>
        <v>1396</v>
      </c>
      <c r="N10" s="14"/>
    </row>
    <row r="11" spans="1:14" x14ac:dyDescent="0.2">
      <c r="A11" s="2" t="s">
        <v>10</v>
      </c>
      <c r="B11" s="3">
        <v>963</v>
      </c>
      <c r="C11" s="3">
        <v>1060</v>
      </c>
      <c r="D11" s="3">
        <v>1413</v>
      </c>
      <c r="E11" s="3">
        <v>1604</v>
      </c>
      <c r="F11" s="3">
        <v>714</v>
      </c>
      <c r="G11" s="3">
        <v>573</v>
      </c>
      <c r="H11" s="3">
        <v>2783</v>
      </c>
      <c r="I11" s="3">
        <v>1444</v>
      </c>
      <c r="J11" s="3">
        <v>401</v>
      </c>
      <c r="K11" s="3">
        <v>644</v>
      </c>
      <c r="L11" s="3">
        <v>669</v>
      </c>
      <c r="M11" s="12">
        <f>SUM(GovByCongressionalDistrict23General[[#This Row],[Allegany County Vote Results]:[Part of Tioga County Vote Results]])</f>
        <v>12268</v>
      </c>
      <c r="N11" s="13">
        <f>GovByCongressionalDistrict23General[[#This Row],[Total Votes by Party]]</f>
        <v>12268</v>
      </c>
    </row>
    <row r="12" spans="1:14" x14ac:dyDescent="0.2">
      <c r="A12" s="4" t="s">
        <v>11</v>
      </c>
      <c r="B12" s="3">
        <v>117</v>
      </c>
      <c r="C12" s="3">
        <v>192</v>
      </c>
      <c r="D12" s="5">
        <v>315</v>
      </c>
      <c r="E12" s="3">
        <v>260</v>
      </c>
      <c r="F12" s="3">
        <v>101</v>
      </c>
      <c r="G12" s="3">
        <v>297</v>
      </c>
      <c r="H12" s="3">
        <v>322</v>
      </c>
      <c r="I12" s="3">
        <v>842</v>
      </c>
      <c r="J12" s="3">
        <v>104</v>
      </c>
      <c r="K12" s="3">
        <v>229</v>
      </c>
      <c r="L12" s="3">
        <v>145</v>
      </c>
      <c r="M12" s="12">
        <f>SUM(GovByCongressionalDistrict23General[[#This Row],[Allegany County Vote Results]:[Part of Tioga County Vote Results]])</f>
        <v>2924</v>
      </c>
      <c r="N12" s="13">
        <f>GovByCongressionalDistrict23General[[#This Row],[Total Votes by Party]]</f>
        <v>2924</v>
      </c>
    </row>
    <row r="13" spans="1:14" x14ac:dyDescent="0.2">
      <c r="A13" s="4" t="s">
        <v>0</v>
      </c>
      <c r="B13" s="3">
        <v>462</v>
      </c>
      <c r="C13" s="3">
        <v>977</v>
      </c>
      <c r="D13" s="5">
        <v>854</v>
      </c>
      <c r="E13" s="3">
        <v>741</v>
      </c>
      <c r="F13" s="3">
        <v>133</v>
      </c>
      <c r="G13" s="3">
        <v>344</v>
      </c>
      <c r="H13" s="3">
        <v>952</v>
      </c>
      <c r="I13" s="3">
        <v>619</v>
      </c>
      <c r="J13" s="3">
        <v>85</v>
      </c>
      <c r="K13" s="3">
        <v>513</v>
      </c>
      <c r="L13" s="3">
        <v>358</v>
      </c>
      <c r="M13" s="12">
        <f>SUM(GovByCongressionalDistrict23General[[#This Row],[Allegany County Vote Results]:[Part of Tioga County Vote Results]])</f>
        <v>6038</v>
      </c>
      <c r="N13" s="14"/>
    </row>
    <row r="14" spans="1:14" x14ac:dyDescent="0.2">
      <c r="A14" s="4" t="s">
        <v>1</v>
      </c>
      <c r="B14" s="3">
        <v>3</v>
      </c>
      <c r="C14" s="3">
        <v>19</v>
      </c>
      <c r="D14" s="5">
        <v>163</v>
      </c>
      <c r="E14" s="3">
        <v>0</v>
      </c>
      <c r="F14" s="3">
        <v>15</v>
      </c>
      <c r="G14" s="3">
        <v>23</v>
      </c>
      <c r="H14" s="3">
        <v>64</v>
      </c>
      <c r="I14" s="3">
        <v>65</v>
      </c>
      <c r="J14" s="3">
        <v>34</v>
      </c>
      <c r="K14" s="3">
        <v>16</v>
      </c>
      <c r="L14" s="3">
        <v>2</v>
      </c>
      <c r="M14" s="12">
        <f>SUM(GovByCongressionalDistrict23General[[#This Row],[Allegany County Vote Results]:[Part of Tioga County Vote Results]])</f>
        <v>404</v>
      </c>
      <c r="N14" s="14"/>
    </row>
    <row r="15" spans="1:14" x14ac:dyDescent="0.2">
      <c r="A15" s="4" t="s">
        <v>2</v>
      </c>
      <c r="B15" s="5">
        <v>7</v>
      </c>
      <c r="C15" s="5">
        <v>4</v>
      </c>
      <c r="D15" s="5">
        <v>29</v>
      </c>
      <c r="E15" s="5">
        <v>20</v>
      </c>
      <c r="F15" s="5">
        <v>3</v>
      </c>
      <c r="G15" s="5">
        <v>6</v>
      </c>
      <c r="H15" s="5">
        <v>18</v>
      </c>
      <c r="I15" s="5">
        <v>63</v>
      </c>
      <c r="J15" s="5">
        <v>3</v>
      </c>
      <c r="K15" s="5">
        <v>9</v>
      </c>
      <c r="L15" s="5">
        <v>3</v>
      </c>
      <c r="M15" s="12">
        <f>SUM(GovByCongressionalDistrict23General[[#This Row],[Allegany County Vote Results]:[Part of Tioga County Vote Results]])</f>
        <v>165</v>
      </c>
      <c r="N15" s="14"/>
    </row>
    <row r="16" spans="1:14" hidden="1" x14ac:dyDescent="0.2">
      <c r="A16" s="4" t="s">
        <v>4</v>
      </c>
      <c r="B16" s="6">
        <f>SUBTOTAL(109,GovByCongressionalDistrict23General[Allegany County Vote Results])</f>
        <v>15353</v>
      </c>
      <c r="C16" s="6"/>
      <c r="D16" s="6"/>
      <c r="E16" s="6"/>
      <c r="F16" s="6"/>
      <c r="G16" s="6"/>
      <c r="H16" s="6"/>
      <c r="I16" s="6"/>
      <c r="J16" s="6"/>
      <c r="K16" s="6"/>
      <c r="L16" s="6">
        <f>SUBTOTAL(109,GovByCongressionalDistrict23General[Part of Tioga County Vote Results])</f>
        <v>14033</v>
      </c>
      <c r="M16" s="6"/>
      <c r="N16" s="9"/>
    </row>
  </sheetData>
  <pageMargins left="0.7" right="0.7" top="0.75" bottom="0.75" header="0.3" footer="0.3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A7437-A8C1-4448-99BB-7EC2D7EDA7E9}">
  <dimension ref="A1:G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7" width="20.5703125" customWidth="1"/>
    <col min="8" max="9" width="23.5703125" customWidth="1"/>
  </cols>
  <sheetData>
    <row r="1" spans="1:7" ht="24.75" customHeight="1" x14ac:dyDescent="0.2">
      <c r="A1" s="1" t="s">
        <v>98</v>
      </c>
    </row>
    <row r="2" spans="1:7" ht="25.5" x14ac:dyDescent="0.2">
      <c r="A2" s="7" t="s">
        <v>12</v>
      </c>
      <c r="B2" s="8" t="s">
        <v>99</v>
      </c>
      <c r="C2" s="8" t="s">
        <v>100</v>
      </c>
      <c r="D2" s="8" t="s">
        <v>40</v>
      </c>
      <c r="E2" s="8" t="s">
        <v>36</v>
      </c>
      <c r="F2" s="10" t="s">
        <v>105</v>
      </c>
      <c r="G2" s="11" t="s">
        <v>5</v>
      </c>
    </row>
    <row r="3" spans="1:7" x14ac:dyDescent="0.2">
      <c r="A3" s="2" t="s">
        <v>3</v>
      </c>
      <c r="B3" s="3">
        <v>9112</v>
      </c>
      <c r="C3" s="3">
        <v>78849</v>
      </c>
      <c r="D3" s="3">
        <v>8655</v>
      </c>
      <c r="E3" s="3">
        <v>7648</v>
      </c>
      <c r="F3" s="12">
        <f>SUM(GovByCongressionalDistrict24General[[#This Row],[Cayuga County Vote Results]:[Part of Oswego County Vote Results]])</f>
        <v>104264</v>
      </c>
      <c r="G3" s="13">
        <f>SUM(F3,F7,F8,F9)</f>
        <v>112470</v>
      </c>
    </row>
    <row r="4" spans="1:7" x14ac:dyDescent="0.2">
      <c r="A4" s="2" t="s">
        <v>14</v>
      </c>
      <c r="B4" s="3">
        <v>12728</v>
      </c>
      <c r="C4" s="3">
        <v>62497</v>
      </c>
      <c r="D4" s="3">
        <v>16547</v>
      </c>
      <c r="E4" s="3">
        <v>11428</v>
      </c>
      <c r="F4" s="12">
        <f>SUM(GovByCongressionalDistrict24General[[#This Row],[Cayuga County Vote Results]:[Part of Oswego County Vote Results]])</f>
        <v>103200</v>
      </c>
      <c r="G4" s="13">
        <f>SUM(F4,F5,F10)</f>
        <v>121848</v>
      </c>
    </row>
    <row r="5" spans="1:7" x14ac:dyDescent="0.2">
      <c r="A5" s="2" t="s">
        <v>15</v>
      </c>
      <c r="B5" s="3">
        <v>1799</v>
      </c>
      <c r="C5" s="3">
        <v>10839</v>
      </c>
      <c r="D5" s="3">
        <v>2765</v>
      </c>
      <c r="E5" s="3">
        <v>1459</v>
      </c>
      <c r="F5" s="12">
        <f>SUM(GovByCongressionalDistrict24General[[#This Row],[Cayuga County Vote Results]:[Part of Oswego County Vote Results]])</f>
        <v>16862</v>
      </c>
      <c r="G5" s="14"/>
    </row>
    <row r="6" spans="1:7" x14ac:dyDescent="0.2">
      <c r="A6" s="2" t="s">
        <v>6</v>
      </c>
      <c r="B6" s="3">
        <v>520</v>
      </c>
      <c r="C6" s="3">
        <v>5312</v>
      </c>
      <c r="D6" s="3">
        <v>435</v>
      </c>
      <c r="E6" s="3">
        <v>389</v>
      </c>
      <c r="F6" s="12">
        <f>SUM(GovByCongressionalDistrict24General[[#This Row],[Cayuga County Vote Results]:[Part of Oswego County Vote Results]])</f>
        <v>6656</v>
      </c>
      <c r="G6" s="13">
        <f>GovByCongressionalDistrict24General[[#This Row],[Total Votes by Party]]</f>
        <v>6656</v>
      </c>
    </row>
    <row r="7" spans="1:7" x14ac:dyDescent="0.2">
      <c r="A7" s="2" t="s">
        <v>7</v>
      </c>
      <c r="B7" s="3">
        <v>232</v>
      </c>
      <c r="C7" s="3">
        <v>2392</v>
      </c>
      <c r="D7" s="3">
        <v>217</v>
      </c>
      <c r="E7" s="3">
        <v>179</v>
      </c>
      <c r="F7" s="12">
        <f>SUM(GovByCongressionalDistrict24General[[#This Row],[Cayuga County Vote Results]:[Part of Oswego County Vote Results]])</f>
        <v>3020</v>
      </c>
      <c r="G7" s="14"/>
    </row>
    <row r="8" spans="1:7" x14ac:dyDescent="0.2">
      <c r="A8" s="2" t="s">
        <v>8</v>
      </c>
      <c r="B8" s="3">
        <v>333</v>
      </c>
      <c r="C8" s="3">
        <v>2891</v>
      </c>
      <c r="D8" s="3">
        <v>255</v>
      </c>
      <c r="E8" s="3">
        <v>312</v>
      </c>
      <c r="F8" s="12">
        <f>SUM(GovByCongressionalDistrict24General[[#This Row],[Cayuga County Vote Results]:[Part of Oswego County Vote Results]])</f>
        <v>3791</v>
      </c>
      <c r="G8" s="14"/>
    </row>
    <row r="9" spans="1:7" x14ac:dyDescent="0.2">
      <c r="A9" s="2" t="s">
        <v>9</v>
      </c>
      <c r="B9" s="3">
        <v>106</v>
      </c>
      <c r="C9" s="3">
        <v>1050</v>
      </c>
      <c r="D9" s="3">
        <v>114</v>
      </c>
      <c r="E9" s="3">
        <v>125</v>
      </c>
      <c r="F9" s="12">
        <f>SUM(GovByCongressionalDistrict24General[[#This Row],[Cayuga County Vote Results]:[Part of Oswego County Vote Results]])</f>
        <v>1395</v>
      </c>
      <c r="G9" s="14"/>
    </row>
    <row r="10" spans="1:7" x14ac:dyDescent="0.2">
      <c r="A10" s="2" t="s">
        <v>16</v>
      </c>
      <c r="B10" s="3">
        <v>179</v>
      </c>
      <c r="C10" s="3">
        <v>1187</v>
      </c>
      <c r="D10" s="3">
        <v>262</v>
      </c>
      <c r="E10" s="3">
        <v>158</v>
      </c>
      <c r="F10" s="12">
        <f>SUM(GovByCongressionalDistrict24General[[#This Row],[Cayuga County Vote Results]:[Part of Oswego County Vote Results]])</f>
        <v>1786</v>
      </c>
      <c r="G10" s="14"/>
    </row>
    <row r="11" spans="1:7" x14ac:dyDescent="0.2">
      <c r="A11" s="2" t="s">
        <v>10</v>
      </c>
      <c r="B11" s="3">
        <v>1023</v>
      </c>
      <c r="C11" s="3">
        <v>4687</v>
      </c>
      <c r="D11" s="3">
        <v>1648</v>
      </c>
      <c r="E11" s="3">
        <v>864</v>
      </c>
      <c r="F11" s="12">
        <f>SUM(GovByCongressionalDistrict24General[[#This Row],[Cayuga County Vote Results]:[Part of Oswego County Vote Results]])</f>
        <v>8222</v>
      </c>
      <c r="G11" s="13">
        <f>GovByCongressionalDistrict24General[[#This Row],[Total Votes by Party]]</f>
        <v>8222</v>
      </c>
    </row>
    <row r="12" spans="1:7" x14ac:dyDescent="0.2">
      <c r="A12" s="4" t="s">
        <v>11</v>
      </c>
      <c r="B12" s="3">
        <v>787</v>
      </c>
      <c r="C12" s="3">
        <v>5768</v>
      </c>
      <c r="D12" s="3">
        <v>461</v>
      </c>
      <c r="E12" s="3">
        <v>794</v>
      </c>
      <c r="F12" s="12">
        <f>SUM(GovByCongressionalDistrict24General[[#This Row],[Cayuga County Vote Results]:[Part of Oswego County Vote Results]])</f>
        <v>7810</v>
      </c>
      <c r="G12" s="13">
        <f>GovByCongressionalDistrict24General[[#This Row],[Total Votes by Party]]</f>
        <v>7810</v>
      </c>
    </row>
    <row r="13" spans="1:7" x14ac:dyDescent="0.2">
      <c r="A13" s="4" t="s">
        <v>0</v>
      </c>
      <c r="B13" s="3">
        <v>1276</v>
      </c>
      <c r="C13" s="3">
        <v>4800</v>
      </c>
      <c r="D13" s="3">
        <v>991</v>
      </c>
      <c r="E13" s="3">
        <v>735</v>
      </c>
      <c r="F13" s="12">
        <f>SUM(GovByCongressionalDistrict24General[[#This Row],[Cayuga County Vote Results]:[Part of Oswego County Vote Results]])</f>
        <v>7802</v>
      </c>
      <c r="G13" s="14"/>
    </row>
    <row r="14" spans="1:7" x14ac:dyDescent="0.2">
      <c r="A14" s="4" t="s">
        <v>1</v>
      </c>
      <c r="B14" s="3">
        <v>55</v>
      </c>
      <c r="C14" s="3">
        <v>0</v>
      </c>
      <c r="D14" s="3">
        <v>42</v>
      </c>
      <c r="E14" s="3">
        <v>40</v>
      </c>
      <c r="F14" s="12">
        <f>SUM(GovByCongressionalDistrict24General[[#This Row],[Cayuga County Vote Results]:[Part of Oswego County Vote Results]])</f>
        <v>137</v>
      </c>
      <c r="G14" s="14"/>
    </row>
    <row r="15" spans="1:7" x14ac:dyDescent="0.2">
      <c r="A15" s="4" t="s">
        <v>2</v>
      </c>
      <c r="B15" s="5">
        <v>21</v>
      </c>
      <c r="C15" s="5">
        <v>147</v>
      </c>
      <c r="D15" s="5">
        <v>10</v>
      </c>
      <c r="E15" s="5">
        <v>7</v>
      </c>
      <c r="F15" s="12">
        <f>SUM(GovByCongressionalDistrict24General[[#This Row],[Cayuga County Vote Results]:[Part of Oswego County Vote Results]])</f>
        <v>185</v>
      </c>
      <c r="G15" s="14"/>
    </row>
    <row r="16" spans="1:7" hidden="1" x14ac:dyDescent="0.2">
      <c r="A16" s="4" t="s">
        <v>4</v>
      </c>
      <c r="B16" s="6">
        <f>SUBTOTAL(109,GovByCongressionalDistrict24General[Cayuga County Vote Results])</f>
        <v>28171</v>
      </c>
      <c r="C16" s="6"/>
      <c r="D16" s="6"/>
      <c r="E16" s="6">
        <f>SUBTOTAL(109,GovByCongressionalDistrict24General[Part of Oswego County Vote Results])</f>
        <v>24138</v>
      </c>
      <c r="F16" s="6"/>
      <c r="G16" s="9"/>
    </row>
  </sheetData>
  <pageMargins left="0.7" right="0.7" top="0.75" bottom="0.75" header="0.3" footer="0.3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F19E7-FEB9-4127-A602-D5A8204F5CAC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101</v>
      </c>
    </row>
    <row r="2" spans="1:4" ht="24.95" customHeight="1" x14ac:dyDescent="0.2">
      <c r="A2" s="7" t="s">
        <v>12</v>
      </c>
      <c r="B2" s="8" t="s">
        <v>44</v>
      </c>
      <c r="C2" s="10" t="s">
        <v>105</v>
      </c>
      <c r="D2" s="11" t="s">
        <v>5</v>
      </c>
    </row>
    <row r="3" spans="1:4" x14ac:dyDescent="0.2">
      <c r="A3" s="2" t="s">
        <v>3</v>
      </c>
      <c r="B3" s="3">
        <v>130003</v>
      </c>
      <c r="C3" s="12">
        <f>GovByCongressionalDistrict25General[[#This Row],[Part of Monroe County Vote Results]]</f>
        <v>130003</v>
      </c>
      <c r="D3" s="13">
        <f>SUM(C3,C7,C8,C9)</f>
        <v>138711</v>
      </c>
    </row>
    <row r="4" spans="1:4" x14ac:dyDescent="0.2">
      <c r="A4" s="2" t="s">
        <v>14</v>
      </c>
      <c r="B4" s="3">
        <v>93281</v>
      </c>
      <c r="C4" s="12">
        <f>GovByCongressionalDistrict25General[[#This Row],[Part of Monroe County Vote Results]]</f>
        <v>93281</v>
      </c>
      <c r="D4" s="13">
        <f>SUM(C4,C5,C10)</f>
        <v>112044</v>
      </c>
    </row>
    <row r="5" spans="1:4" x14ac:dyDescent="0.2">
      <c r="A5" s="2" t="s">
        <v>15</v>
      </c>
      <c r="B5" s="3">
        <v>17286</v>
      </c>
      <c r="C5" s="12">
        <f>GovByCongressionalDistrict25General[[#This Row],[Part of Monroe County Vote Results]]</f>
        <v>17286</v>
      </c>
      <c r="D5" s="14"/>
    </row>
    <row r="6" spans="1:4" x14ac:dyDescent="0.2">
      <c r="A6" s="2" t="s">
        <v>6</v>
      </c>
      <c r="B6" s="3">
        <v>4216</v>
      </c>
      <c r="C6" s="12">
        <f>GovByCongressionalDistrict25General[[#This Row],[Part of Monroe County Vote Results]]</f>
        <v>4216</v>
      </c>
      <c r="D6" s="13">
        <f>GovByCongressionalDistrict25General[[#This Row],[Total Votes by Party]]</f>
        <v>4216</v>
      </c>
    </row>
    <row r="7" spans="1:4" x14ac:dyDescent="0.2">
      <c r="A7" s="2" t="s">
        <v>7</v>
      </c>
      <c r="B7" s="3">
        <v>3451</v>
      </c>
      <c r="C7" s="12">
        <f>GovByCongressionalDistrict25General[[#This Row],[Part of Monroe County Vote Results]]</f>
        <v>3451</v>
      </c>
      <c r="D7" s="14"/>
    </row>
    <row r="8" spans="1:4" x14ac:dyDescent="0.2">
      <c r="A8" s="2" t="s">
        <v>8</v>
      </c>
      <c r="B8" s="3">
        <v>3440</v>
      </c>
      <c r="C8" s="12">
        <f>GovByCongressionalDistrict25General[[#This Row],[Part of Monroe County Vote Results]]</f>
        <v>3440</v>
      </c>
      <c r="D8" s="14"/>
    </row>
    <row r="9" spans="1:4" x14ac:dyDescent="0.2">
      <c r="A9" s="2" t="s">
        <v>9</v>
      </c>
      <c r="B9" s="3">
        <v>1817</v>
      </c>
      <c r="C9" s="12">
        <f>GovByCongressionalDistrict25General[[#This Row],[Part of Monroe County Vote Results]]</f>
        <v>1817</v>
      </c>
      <c r="D9" s="14"/>
    </row>
    <row r="10" spans="1:4" x14ac:dyDescent="0.2">
      <c r="A10" s="2" t="s">
        <v>16</v>
      </c>
      <c r="B10" s="3">
        <v>1477</v>
      </c>
      <c r="C10" s="12">
        <f>GovByCongressionalDistrict25General[[#This Row],[Part of Monroe County Vote Results]]</f>
        <v>1477</v>
      </c>
      <c r="D10" s="14"/>
    </row>
    <row r="11" spans="1:4" x14ac:dyDescent="0.2">
      <c r="A11" s="2" t="s">
        <v>10</v>
      </c>
      <c r="B11" s="3">
        <v>8948</v>
      </c>
      <c r="C11" s="12">
        <f>GovByCongressionalDistrict25General[[#This Row],[Part of Monroe County Vote Results]]</f>
        <v>8948</v>
      </c>
      <c r="D11" s="13">
        <f>GovByCongressionalDistrict25General[[#This Row],[Total Votes by Party]]</f>
        <v>8948</v>
      </c>
    </row>
    <row r="12" spans="1:4" x14ac:dyDescent="0.2">
      <c r="A12" s="4" t="s">
        <v>11</v>
      </c>
      <c r="B12" s="5">
        <v>3962</v>
      </c>
      <c r="C12" s="12">
        <f>GovByCongressionalDistrict25General[[#This Row],[Part of Monroe County Vote Results]]</f>
        <v>3962</v>
      </c>
      <c r="D12" s="13">
        <f>GovByCongressionalDistrict25General[[#This Row],[Total Votes by Party]]</f>
        <v>3962</v>
      </c>
    </row>
    <row r="13" spans="1:4" x14ac:dyDescent="0.2">
      <c r="A13" s="4" t="s">
        <v>0</v>
      </c>
      <c r="B13" s="5">
        <v>7157</v>
      </c>
      <c r="C13" s="12">
        <f>GovByCongressionalDistrict25General[[#This Row],[Part of Monroe County Vote Results]]</f>
        <v>7157</v>
      </c>
      <c r="D13" s="14"/>
    </row>
    <row r="14" spans="1:4" x14ac:dyDescent="0.2">
      <c r="A14" s="4" t="s">
        <v>1</v>
      </c>
      <c r="B14" s="5">
        <v>0</v>
      </c>
      <c r="C14" s="12">
        <f>GovByCongressionalDistrict25General[[#This Row],[Part of Monroe County Vote Results]]</f>
        <v>0</v>
      </c>
      <c r="D14" s="14"/>
    </row>
    <row r="15" spans="1:4" x14ac:dyDescent="0.2">
      <c r="A15" s="4" t="s">
        <v>2</v>
      </c>
      <c r="B15" s="5">
        <v>150</v>
      </c>
      <c r="C15" s="12">
        <f>GovByCongressionalDistrict25General[[#This Row],[Part of Monroe County Vote Results]]</f>
        <v>150</v>
      </c>
      <c r="D15" s="14"/>
    </row>
    <row r="16" spans="1:4" hidden="1" x14ac:dyDescent="0.2">
      <c r="A16" s="4" t="s">
        <v>4</v>
      </c>
      <c r="B16" s="6">
        <f>SUBTOTAL(109,GovByCongressionalDistrict25General[Total Votes by Candidate])</f>
        <v>267881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E1B78-475C-4389-B920-051B55E55356}">
  <dimension ref="A1:E16"/>
  <sheetViews>
    <sheetView workbookViewId="0">
      <selection activeCell="C18" sqref="C18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75" customHeight="1" x14ac:dyDescent="0.2">
      <c r="A1" s="1" t="s">
        <v>102</v>
      </c>
    </row>
    <row r="2" spans="1:5" ht="25.5" x14ac:dyDescent="0.2">
      <c r="A2" s="7" t="s">
        <v>12</v>
      </c>
      <c r="B2" s="8" t="s">
        <v>46</v>
      </c>
      <c r="C2" s="8" t="s">
        <v>47</v>
      </c>
      <c r="D2" s="10" t="s">
        <v>105</v>
      </c>
      <c r="E2" s="11" t="s">
        <v>5</v>
      </c>
    </row>
    <row r="3" spans="1:5" x14ac:dyDescent="0.2">
      <c r="A3" s="2" t="s">
        <v>3</v>
      </c>
      <c r="B3" s="3">
        <v>118832</v>
      </c>
      <c r="C3" s="3">
        <v>10190</v>
      </c>
      <c r="D3" s="12">
        <f>SUM(GovByCongressionalDistrict26General[[#This Row],[Part of Erie County Vote Results]:[Part of Niagara County Vote Results]])</f>
        <v>129022</v>
      </c>
      <c r="E3" s="13">
        <f>SUM(D3,D7,D8,D9)</f>
        <v>137892</v>
      </c>
    </row>
    <row r="4" spans="1:5" x14ac:dyDescent="0.2">
      <c r="A4" s="2" t="s">
        <v>14</v>
      </c>
      <c r="B4" s="3">
        <v>62354</v>
      </c>
      <c r="C4" s="3">
        <v>8978</v>
      </c>
      <c r="D4" s="12">
        <f>SUM(GovByCongressionalDistrict26General[[#This Row],[Part of Erie County Vote Results]:[Part of Niagara County Vote Results]])</f>
        <v>71332</v>
      </c>
      <c r="E4" s="13">
        <f>SUM(D4,D5,D10)</f>
        <v>88739</v>
      </c>
    </row>
    <row r="5" spans="1:5" x14ac:dyDescent="0.2">
      <c r="A5" s="2" t="s">
        <v>15</v>
      </c>
      <c r="B5" s="3">
        <v>14340</v>
      </c>
      <c r="C5" s="3">
        <v>1793</v>
      </c>
      <c r="D5" s="12">
        <f>SUM(GovByCongressionalDistrict26General[[#This Row],[Part of Erie County Vote Results]:[Part of Niagara County Vote Results]])</f>
        <v>16133</v>
      </c>
      <c r="E5" s="14"/>
    </row>
    <row r="6" spans="1:5" x14ac:dyDescent="0.2">
      <c r="A6" s="2" t="s">
        <v>6</v>
      </c>
      <c r="B6" s="3">
        <v>4305</v>
      </c>
      <c r="C6" s="3">
        <v>351</v>
      </c>
      <c r="D6" s="12">
        <f>SUM(GovByCongressionalDistrict26General[[#This Row],[Part of Erie County Vote Results]:[Part of Niagara County Vote Results]])</f>
        <v>4656</v>
      </c>
      <c r="E6" s="13">
        <f>GovByCongressionalDistrict26General[[#This Row],[Total Votes by Party]]</f>
        <v>4656</v>
      </c>
    </row>
    <row r="7" spans="1:5" x14ac:dyDescent="0.2">
      <c r="A7" s="2" t="s">
        <v>7</v>
      </c>
      <c r="B7" s="3">
        <v>4007</v>
      </c>
      <c r="C7" s="3">
        <v>238</v>
      </c>
      <c r="D7" s="12">
        <f>SUM(GovByCongressionalDistrict26General[[#This Row],[Part of Erie County Vote Results]:[Part of Niagara County Vote Results]])</f>
        <v>4245</v>
      </c>
      <c r="E7" s="14"/>
    </row>
    <row r="8" spans="1:5" x14ac:dyDescent="0.2">
      <c r="A8" s="2" t="s">
        <v>8</v>
      </c>
      <c r="B8" s="3">
        <v>2739</v>
      </c>
      <c r="C8" s="3">
        <v>295</v>
      </c>
      <c r="D8" s="12">
        <f>SUM(GovByCongressionalDistrict26General[[#This Row],[Part of Erie County Vote Results]:[Part of Niagara County Vote Results]])</f>
        <v>3034</v>
      </c>
      <c r="E8" s="14"/>
    </row>
    <row r="9" spans="1:5" x14ac:dyDescent="0.2">
      <c r="A9" s="2" t="s">
        <v>9</v>
      </c>
      <c r="B9" s="3">
        <v>1482</v>
      </c>
      <c r="C9" s="3">
        <v>109</v>
      </c>
      <c r="D9" s="12">
        <f>SUM(GovByCongressionalDistrict26General[[#This Row],[Part of Erie County Vote Results]:[Part of Niagara County Vote Results]])</f>
        <v>1591</v>
      </c>
      <c r="E9" s="14"/>
    </row>
    <row r="10" spans="1:5" x14ac:dyDescent="0.2">
      <c r="A10" s="2" t="s">
        <v>16</v>
      </c>
      <c r="B10" s="3">
        <v>1134</v>
      </c>
      <c r="C10" s="3">
        <v>140</v>
      </c>
      <c r="D10" s="12">
        <f>SUM(GovByCongressionalDistrict26General[[#This Row],[Part of Erie County Vote Results]:[Part of Niagara County Vote Results]])</f>
        <v>1274</v>
      </c>
      <c r="E10" s="14"/>
    </row>
    <row r="11" spans="1:5" x14ac:dyDescent="0.2">
      <c r="A11" s="2" t="s">
        <v>10</v>
      </c>
      <c r="B11" s="3">
        <v>3239</v>
      </c>
      <c r="C11" s="3">
        <v>442</v>
      </c>
      <c r="D11" s="12">
        <f>SUM(GovByCongressionalDistrict26General[[#This Row],[Part of Erie County Vote Results]:[Part of Niagara County Vote Results]])</f>
        <v>3681</v>
      </c>
      <c r="E11" s="13">
        <f>GovByCongressionalDistrict26General[[#This Row],[Total Votes by Party]]</f>
        <v>3681</v>
      </c>
    </row>
    <row r="12" spans="1:5" x14ac:dyDescent="0.2">
      <c r="A12" s="4" t="s">
        <v>11</v>
      </c>
      <c r="B12" s="3">
        <v>1892</v>
      </c>
      <c r="C12" s="3">
        <v>225</v>
      </c>
      <c r="D12" s="12">
        <f>SUM(GovByCongressionalDistrict26General[[#This Row],[Part of Erie County Vote Results]:[Part of Niagara County Vote Results]])</f>
        <v>2117</v>
      </c>
      <c r="E12" s="13">
        <f>GovByCongressionalDistrict26General[[#This Row],[Total Votes by Party]]</f>
        <v>2117</v>
      </c>
    </row>
    <row r="13" spans="1:5" x14ac:dyDescent="0.2">
      <c r="A13" s="4" t="s">
        <v>0</v>
      </c>
      <c r="B13" s="3">
        <v>4044</v>
      </c>
      <c r="C13" s="3">
        <v>446</v>
      </c>
      <c r="D13" s="12">
        <f>SUM(GovByCongressionalDistrict26General[[#This Row],[Part of Erie County Vote Results]:[Part of Niagara County Vote Results]])</f>
        <v>4490</v>
      </c>
      <c r="E13" s="14"/>
    </row>
    <row r="14" spans="1:5" x14ac:dyDescent="0.2">
      <c r="A14" s="4" t="s">
        <v>1</v>
      </c>
      <c r="B14" s="3">
        <v>0</v>
      </c>
      <c r="C14" s="3">
        <v>0</v>
      </c>
      <c r="D14" s="12">
        <f>SUM(GovByCongressionalDistrict26General[[#This Row],[Part of Erie County Vote Results]:[Part of Niagara County Vote Results]])</f>
        <v>0</v>
      </c>
      <c r="E14" s="14"/>
    </row>
    <row r="15" spans="1:5" x14ac:dyDescent="0.2">
      <c r="A15" s="4" t="s">
        <v>2</v>
      </c>
      <c r="B15" s="5">
        <v>0</v>
      </c>
      <c r="C15" s="5">
        <v>17</v>
      </c>
      <c r="D15" s="12">
        <f>SUM(GovByCongressionalDistrict26General[[#This Row],[Part of Erie County Vote Results]:[Part of Niagara County Vote Results]])</f>
        <v>17</v>
      </c>
      <c r="E15" s="14"/>
    </row>
    <row r="16" spans="1:5" hidden="1" x14ac:dyDescent="0.2">
      <c r="A16" s="4" t="s">
        <v>4</v>
      </c>
      <c r="B16" s="6">
        <f>SUBTOTAL(109,GovByCongressionalDistrict26General[Part of Erie County Vote Results])</f>
        <v>218368</v>
      </c>
      <c r="C16" s="6">
        <f>SUBTOTAL(109,GovByCongressionalDistrict26General[Part of Niagara County Vote Results])</f>
        <v>23224</v>
      </c>
      <c r="D16" s="6"/>
      <c r="E16" s="9"/>
    </row>
  </sheetData>
  <pageMargins left="0.7" right="0.7" top="0.75" bottom="0.75" header="0.3" footer="0.3"/>
  <tableParts count="1">
    <tablePart r:id="rId1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02285-C567-435C-8D0A-72914BA82099}">
  <dimension ref="A1:K16"/>
  <sheetViews>
    <sheetView workbookViewId="0">
      <selection activeCell="H18" sqref="H18"/>
    </sheetView>
  </sheetViews>
  <sheetFormatPr defaultRowHeight="12.75" x14ac:dyDescent="0.2"/>
  <cols>
    <col min="1" max="1" width="25.5703125" customWidth="1"/>
    <col min="2" max="11" width="20.5703125" customWidth="1"/>
    <col min="12" max="13" width="23.5703125" customWidth="1"/>
  </cols>
  <sheetData>
    <row r="1" spans="1:11" ht="24.75" customHeight="1" x14ac:dyDescent="0.2">
      <c r="A1" s="1" t="s">
        <v>103</v>
      </c>
    </row>
    <row r="2" spans="1:11" ht="25.5" x14ac:dyDescent="0.2">
      <c r="A2" s="7" t="s">
        <v>12</v>
      </c>
      <c r="B2" s="8" t="s">
        <v>45</v>
      </c>
      <c r="C2" s="8" t="s">
        <v>43</v>
      </c>
      <c r="D2" s="8" t="s">
        <v>104</v>
      </c>
      <c r="E2" s="8" t="s">
        <v>48</v>
      </c>
      <c r="F2" s="8" t="s">
        <v>46</v>
      </c>
      <c r="G2" s="8" t="s">
        <v>44</v>
      </c>
      <c r="H2" s="8" t="s">
        <v>47</v>
      </c>
      <c r="I2" s="8" t="s">
        <v>97</v>
      </c>
      <c r="J2" s="10" t="s">
        <v>105</v>
      </c>
      <c r="K2" s="11" t="s">
        <v>5</v>
      </c>
    </row>
    <row r="3" spans="1:11" x14ac:dyDescent="0.2">
      <c r="A3" s="2" t="s">
        <v>3</v>
      </c>
      <c r="B3" s="3">
        <v>2019</v>
      </c>
      <c r="C3" s="3">
        <v>7062</v>
      </c>
      <c r="D3" s="3">
        <v>2894</v>
      </c>
      <c r="E3" s="3">
        <v>2438</v>
      </c>
      <c r="F3" s="3">
        <v>43940</v>
      </c>
      <c r="G3" s="3">
        <v>4043</v>
      </c>
      <c r="H3" s="3">
        <v>15867</v>
      </c>
      <c r="I3" s="3">
        <v>9959</v>
      </c>
      <c r="J3" s="12">
        <f>SUM(GovByCongressionalDistrict27General[[#This Row],[Genesee County Vote Results]:[Part of Ontario County Vote Results]])</f>
        <v>88222</v>
      </c>
      <c r="K3" s="13">
        <f>SUM(J3,J7,J8,J9)</f>
        <v>95619</v>
      </c>
    </row>
    <row r="4" spans="1:11" x14ac:dyDescent="0.2">
      <c r="A4" s="2" t="s">
        <v>14</v>
      </c>
      <c r="B4" s="3">
        <v>11888</v>
      </c>
      <c r="C4" s="3">
        <v>12639</v>
      </c>
      <c r="D4" s="3">
        <v>7667</v>
      </c>
      <c r="E4" s="3">
        <v>8703</v>
      </c>
      <c r="F4" s="3">
        <v>58291</v>
      </c>
      <c r="G4" s="3">
        <v>5588</v>
      </c>
      <c r="H4" s="3">
        <v>25081</v>
      </c>
      <c r="I4" s="3">
        <v>13412</v>
      </c>
      <c r="J4" s="12">
        <f>SUM(GovByCongressionalDistrict27General[[#This Row],[Genesee County Vote Results]:[Part of Ontario County Vote Results]])</f>
        <v>143269</v>
      </c>
      <c r="K4" s="13">
        <f>SUM(J4,J5,J10)</f>
        <v>173237</v>
      </c>
    </row>
    <row r="5" spans="1:11" x14ac:dyDescent="0.2">
      <c r="A5" s="2" t="s">
        <v>15</v>
      </c>
      <c r="B5" s="3">
        <v>1937</v>
      </c>
      <c r="C5" s="3">
        <v>1827</v>
      </c>
      <c r="D5" s="3">
        <v>1133</v>
      </c>
      <c r="E5" s="3">
        <v>1216</v>
      </c>
      <c r="F5" s="3">
        <v>13709</v>
      </c>
      <c r="G5" s="3">
        <v>1172</v>
      </c>
      <c r="H5" s="3">
        <v>4899</v>
      </c>
      <c r="I5" s="3">
        <v>2095</v>
      </c>
      <c r="J5" s="12">
        <f>SUM(GovByCongressionalDistrict27General[[#This Row],[Genesee County Vote Results]:[Part of Ontario County Vote Results]])</f>
        <v>27988</v>
      </c>
      <c r="K5" s="14"/>
    </row>
    <row r="6" spans="1:11" x14ac:dyDescent="0.2">
      <c r="A6" s="2" t="s">
        <v>6</v>
      </c>
      <c r="B6" s="3">
        <v>270</v>
      </c>
      <c r="C6" s="3">
        <v>415</v>
      </c>
      <c r="D6" s="3">
        <v>123</v>
      </c>
      <c r="E6" s="3">
        <v>131</v>
      </c>
      <c r="F6" s="3">
        <v>1803</v>
      </c>
      <c r="G6" s="3">
        <v>176</v>
      </c>
      <c r="H6" s="3">
        <v>605</v>
      </c>
      <c r="I6" s="3">
        <v>462</v>
      </c>
      <c r="J6" s="12">
        <f>SUM(GovByCongressionalDistrict27General[[#This Row],[Genesee County Vote Results]:[Part of Ontario County Vote Results]])</f>
        <v>3985</v>
      </c>
      <c r="K6" s="13">
        <f>GovByCongressionalDistrict27General[[#This Row],[Total Votes by Party]]</f>
        <v>3985</v>
      </c>
    </row>
    <row r="7" spans="1:11" x14ac:dyDescent="0.2">
      <c r="A7" s="2" t="s">
        <v>7</v>
      </c>
      <c r="B7" s="3">
        <v>129</v>
      </c>
      <c r="C7" s="3">
        <v>228</v>
      </c>
      <c r="D7" s="3">
        <v>69</v>
      </c>
      <c r="E7" s="3">
        <v>77</v>
      </c>
      <c r="F7" s="3">
        <v>1507</v>
      </c>
      <c r="G7" s="3">
        <v>133</v>
      </c>
      <c r="H7" s="3">
        <v>478</v>
      </c>
      <c r="I7" s="3">
        <v>230</v>
      </c>
      <c r="J7" s="12">
        <f>SUM(GovByCongressionalDistrict27General[[#This Row],[Genesee County Vote Results]:[Part of Ontario County Vote Results]])</f>
        <v>2851</v>
      </c>
      <c r="K7" s="14"/>
    </row>
    <row r="8" spans="1:11" x14ac:dyDescent="0.2">
      <c r="A8" s="2" t="s">
        <v>8</v>
      </c>
      <c r="B8" s="3">
        <v>176</v>
      </c>
      <c r="C8" s="3">
        <v>215</v>
      </c>
      <c r="D8" s="3">
        <v>84</v>
      </c>
      <c r="E8" s="3">
        <v>73</v>
      </c>
      <c r="F8" s="3">
        <v>1679</v>
      </c>
      <c r="G8" s="3">
        <v>154</v>
      </c>
      <c r="H8" s="3">
        <v>608</v>
      </c>
      <c r="I8" s="3">
        <v>317</v>
      </c>
      <c r="J8" s="12">
        <f>SUM(GovByCongressionalDistrict27General[[#This Row],[Genesee County Vote Results]:[Part of Ontario County Vote Results]])</f>
        <v>3306</v>
      </c>
      <c r="K8" s="14"/>
    </row>
    <row r="9" spans="1:11" x14ac:dyDescent="0.2">
      <c r="A9" s="2" t="s">
        <v>9</v>
      </c>
      <c r="B9" s="3">
        <v>76</v>
      </c>
      <c r="C9" s="3">
        <v>132</v>
      </c>
      <c r="D9" s="3">
        <v>35</v>
      </c>
      <c r="E9" s="3">
        <v>24</v>
      </c>
      <c r="F9" s="3">
        <v>580</v>
      </c>
      <c r="G9" s="3">
        <v>69</v>
      </c>
      <c r="H9" s="3">
        <v>166</v>
      </c>
      <c r="I9" s="3">
        <v>158</v>
      </c>
      <c r="J9" s="12">
        <f>SUM(GovByCongressionalDistrict27General[[#This Row],[Genesee County Vote Results]:[Part of Ontario County Vote Results]])</f>
        <v>1240</v>
      </c>
      <c r="K9" s="14"/>
    </row>
    <row r="10" spans="1:11" x14ac:dyDescent="0.2">
      <c r="A10" s="2" t="s">
        <v>16</v>
      </c>
      <c r="B10" s="3">
        <v>142</v>
      </c>
      <c r="C10" s="3">
        <v>161</v>
      </c>
      <c r="D10" s="3">
        <v>93</v>
      </c>
      <c r="E10" s="3">
        <v>78</v>
      </c>
      <c r="F10" s="3">
        <v>851</v>
      </c>
      <c r="G10" s="3">
        <v>105</v>
      </c>
      <c r="H10" s="3">
        <v>351</v>
      </c>
      <c r="I10" s="3">
        <v>199</v>
      </c>
      <c r="J10" s="12">
        <f>SUM(GovByCongressionalDistrict27General[[#This Row],[Genesee County Vote Results]:[Part of Ontario County Vote Results]])</f>
        <v>1980</v>
      </c>
      <c r="K10" s="14"/>
    </row>
    <row r="11" spans="1:11" x14ac:dyDescent="0.2">
      <c r="A11" s="2" t="s">
        <v>10</v>
      </c>
      <c r="B11" s="3">
        <v>1242</v>
      </c>
      <c r="C11" s="3">
        <v>1339</v>
      </c>
      <c r="D11" s="3">
        <v>697</v>
      </c>
      <c r="E11" s="3">
        <v>520</v>
      </c>
      <c r="F11" s="3">
        <v>2107</v>
      </c>
      <c r="G11" s="3">
        <v>592</v>
      </c>
      <c r="H11" s="3">
        <v>1025</v>
      </c>
      <c r="I11" s="3">
        <v>1128</v>
      </c>
      <c r="J11" s="12">
        <f>SUM(GovByCongressionalDistrict27General[[#This Row],[Genesee County Vote Results]:[Part of Ontario County Vote Results]])</f>
        <v>8650</v>
      </c>
      <c r="K11" s="13">
        <f>GovByCongressionalDistrict27General[[#This Row],[Total Votes by Party]]</f>
        <v>8650</v>
      </c>
    </row>
    <row r="12" spans="1:11" x14ac:dyDescent="0.2">
      <c r="A12" s="4" t="s">
        <v>11</v>
      </c>
      <c r="B12" s="3">
        <v>195</v>
      </c>
      <c r="C12" s="3">
        <v>311</v>
      </c>
      <c r="D12" s="3">
        <v>101</v>
      </c>
      <c r="E12" s="3">
        <v>103</v>
      </c>
      <c r="F12" s="3">
        <v>976</v>
      </c>
      <c r="G12" s="3">
        <v>199</v>
      </c>
      <c r="H12" s="3">
        <v>454</v>
      </c>
      <c r="I12" s="3">
        <v>351</v>
      </c>
      <c r="J12" s="12">
        <f>SUM(GovByCongressionalDistrict27General[[#This Row],[Genesee County Vote Results]:[Part of Ontario County Vote Results]])</f>
        <v>2690</v>
      </c>
      <c r="K12" s="13">
        <f>GovByCongressionalDistrict27General[[#This Row],[Total Votes by Party]]</f>
        <v>2690</v>
      </c>
    </row>
    <row r="13" spans="1:11" x14ac:dyDescent="0.2">
      <c r="A13" s="4" t="s">
        <v>0</v>
      </c>
      <c r="B13" s="3">
        <v>466</v>
      </c>
      <c r="C13" s="3">
        <v>405</v>
      </c>
      <c r="D13" s="3">
        <v>198</v>
      </c>
      <c r="E13" s="3">
        <v>148</v>
      </c>
      <c r="F13" s="3">
        <v>2147</v>
      </c>
      <c r="G13" s="3">
        <v>227</v>
      </c>
      <c r="H13" s="3">
        <v>894</v>
      </c>
      <c r="I13" s="3">
        <v>902</v>
      </c>
      <c r="J13" s="12">
        <f>SUM(GovByCongressionalDistrict27General[[#This Row],[Genesee County Vote Results]:[Part of Ontario County Vote Results]])</f>
        <v>5387</v>
      </c>
      <c r="K13" s="14"/>
    </row>
    <row r="14" spans="1:11" x14ac:dyDescent="0.2">
      <c r="A14" s="4" t="s">
        <v>1</v>
      </c>
      <c r="B14" s="3">
        <v>10</v>
      </c>
      <c r="C14" s="3">
        <v>55</v>
      </c>
      <c r="D14" s="3">
        <v>25</v>
      </c>
      <c r="E14" s="3">
        <v>15</v>
      </c>
      <c r="F14" s="3">
        <v>0</v>
      </c>
      <c r="G14" s="3">
        <v>0</v>
      </c>
      <c r="H14" s="3">
        <v>0</v>
      </c>
      <c r="I14" s="3">
        <v>28</v>
      </c>
      <c r="J14" s="12">
        <f>SUM(GovByCongressionalDistrict27General[[#This Row],[Genesee County Vote Results]:[Part of Ontario County Vote Results]])</f>
        <v>133</v>
      </c>
      <c r="K14" s="14"/>
    </row>
    <row r="15" spans="1:11" x14ac:dyDescent="0.2">
      <c r="A15" s="4" t="s">
        <v>2</v>
      </c>
      <c r="B15" s="5">
        <v>7</v>
      </c>
      <c r="C15" s="5">
        <v>17</v>
      </c>
      <c r="D15" s="5">
        <v>3</v>
      </c>
      <c r="E15" s="5">
        <v>9</v>
      </c>
      <c r="F15" s="5">
        <v>0</v>
      </c>
      <c r="G15" s="5">
        <v>4</v>
      </c>
      <c r="H15" s="5">
        <v>21</v>
      </c>
      <c r="I15" s="5">
        <v>14</v>
      </c>
      <c r="J15" s="12">
        <f>SUM(GovByCongressionalDistrict27General[[#This Row],[Genesee County Vote Results]:[Part of Ontario County Vote Results]])</f>
        <v>75</v>
      </c>
      <c r="K15" s="14"/>
    </row>
    <row r="16" spans="1:11" hidden="1" x14ac:dyDescent="0.2">
      <c r="A16" s="4" t="s">
        <v>4</v>
      </c>
      <c r="B16" s="6">
        <f>SUBTOTAL(109,GovByCongressionalDistrict27General[Genesee County Vote Results])</f>
        <v>18557</v>
      </c>
      <c r="C16" s="6"/>
      <c r="D16" s="6"/>
      <c r="E16" s="6"/>
      <c r="F16" s="6"/>
      <c r="G16" s="6"/>
      <c r="H16" s="6"/>
      <c r="I16" s="6">
        <f>SUBTOTAL(109,GovByCongressionalDistrict27General[Part of Ontario County Vote Results])</f>
        <v>29255</v>
      </c>
      <c r="J16" s="6"/>
      <c r="K16" s="9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8980F-BDF5-41C4-813A-3B1DCF607B0D}">
  <dimension ref="A1:F17"/>
  <sheetViews>
    <sheetView workbookViewId="0">
      <selection activeCell="C11" sqref="C11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ht="24.75" customHeight="1" x14ac:dyDescent="0.2">
      <c r="A1" s="1" t="s">
        <v>54</v>
      </c>
    </row>
    <row r="2" spans="1:6" ht="25.5" x14ac:dyDescent="0.2">
      <c r="A2" s="7" t="s">
        <v>12</v>
      </c>
      <c r="B2" s="8" t="s">
        <v>17</v>
      </c>
      <c r="C2" s="8" t="s">
        <v>18</v>
      </c>
      <c r="D2" s="8" t="s">
        <v>13</v>
      </c>
      <c r="E2" s="10" t="s">
        <v>105</v>
      </c>
      <c r="F2" s="11" t="s">
        <v>5</v>
      </c>
    </row>
    <row r="3" spans="1:6" x14ac:dyDescent="0.2">
      <c r="A3" s="2" t="s">
        <v>3</v>
      </c>
      <c r="B3" s="3">
        <v>74521</v>
      </c>
      <c r="C3" s="16">
        <v>21291</v>
      </c>
      <c r="D3" s="3">
        <v>48631</v>
      </c>
      <c r="E3" s="12">
        <f>SUM(GovByCongressionalDistrict3General[[#This Row],[Part of Nassau County Vote Results]:[Part of Suffolk County Vote Results]])</f>
        <v>144443</v>
      </c>
      <c r="F3" s="13">
        <f>SUM(E3,E7,E8,E9)</f>
        <v>151016</v>
      </c>
    </row>
    <row r="4" spans="1:6" x14ac:dyDescent="0.2">
      <c r="A4" s="2" t="s">
        <v>14</v>
      </c>
      <c r="B4" s="3">
        <v>49953</v>
      </c>
      <c r="C4" s="16">
        <v>10471</v>
      </c>
      <c r="D4" s="3">
        <v>39187</v>
      </c>
      <c r="E4" s="12">
        <f>SUM(GovByCongressionalDistrict3General[[#This Row],[Part of Nassau County Vote Results]:[Part of Suffolk County Vote Results]])</f>
        <v>99611</v>
      </c>
      <c r="F4" s="13">
        <f>SUM(E4,E5,E10)</f>
        <v>110431</v>
      </c>
    </row>
    <row r="5" spans="1:6" x14ac:dyDescent="0.2">
      <c r="A5" s="2" t="s">
        <v>15</v>
      </c>
      <c r="B5" s="3">
        <v>4322</v>
      </c>
      <c r="C5" s="16">
        <v>1129</v>
      </c>
      <c r="D5" s="3">
        <v>4525</v>
      </c>
      <c r="E5" s="12">
        <f>SUM(GovByCongressionalDistrict3General[[#This Row],[Part of Nassau County Vote Results]:[Part of Suffolk County Vote Results]])</f>
        <v>9976</v>
      </c>
      <c r="F5" s="14"/>
    </row>
    <row r="6" spans="1:6" x14ac:dyDescent="0.2">
      <c r="A6" s="2" t="s">
        <v>6</v>
      </c>
      <c r="B6" s="3">
        <v>1164</v>
      </c>
      <c r="C6" s="16">
        <v>458</v>
      </c>
      <c r="D6" s="3">
        <v>916</v>
      </c>
      <c r="E6" s="12">
        <f>SUM(GovByCongressionalDistrict3General[[#This Row],[Part of Nassau County Vote Results]:[Part of Suffolk County Vote Results]])</f>
        <v>2538</v>
      </c>
      <c r="F6" s="13">
        <f>GovByCongressionalDistrict3General[[#This Row],[Total Votes by Party]]</f>
        <v>2538</v>
      </c>
    </row>
    <row r="7" spans="1:6" x14ac:dyDescent="0.2">
      <c r="A7" s="2" t="s">
        <v>7</v>
      </c>
      <c r="B7" s="3">
        <v>1248</v>
      </c>
      <c r="C7" s="16">
        <v>474</v>
      </c>
      <c r="D7" s="3">
        <v>926</v>
      </c>
      <c r="E7" s="12">
        <f>SUM(GovByCongressionalDistrict3General[[#This Row],[Part of Nassau County Vote Results]:[Part of Suffolk County Vote Results]])</f>
        <v>2648</v>
      </c>
      <c r="F7" s="14"/>
    </row>
    <row r="8" spans="1:6" x14ac:dyDescent="0.2">
      <c r="A8" s="2" t="s">
        <v>8</v>
      </c>
      <c r="B8" s="3">
        <v>1006</v>
      </c>
      <c r="C8" s="16">
        <v>467</v>
      </c>
      <c r="D8" s="3">
        <v>1178</v>
      </c>
      <c r="E8" s="12">
        <f>SUM(GovByCongressionalDistrict3General[[#This Row],[Part of Nassau County Vote Results]:[Part of Suffolk County Vote Results]])</f>
        <v>2651</v>
      </c>
      <c r="F8" s="14"/>
    </row>
    <row r="9" spans="1:6" x14ac:dyDescent="0.2">
      <c r="A9" s="2" t="s">
        <v>9</v>
      </c>
      <c r="B9" s="3">
        <v>585</v>
      </c>
      <c r="C9" s="16">
        <v>76</v>
      </c>
      <c r="D9" s="3">
        <v>613</v>
      </c>
      <c r="E9" s="12">
        <f>SUM(GovByCongressionalDistrict3General[[#This Row],[Part of Nassau County Vote Results]:[Part of Suffolk County Vote Results]])</f>
        <v>1274</v>
      </c>
      <c r="F9" s="14"/>
    </row>
    <row r="10" spans="1:6" x14ac:dyDescent="0.2">
      <c r="A10" s="2" t="s">
        <v>16</v>
      </c>
      <c r="B10" s="3">
        <v>409</v>
      </c>
      <c r="C10" s="16">
        <v>81</v>
      </c>
      <c r="D10" s="3">
        <v>354</v>
      </c>
      <c r="E10" s="12">
        <f>SUM(GovByCongressionalDistrict3General[[#This Row],[Part of Nassau County Vote Results]:[Part of Suffolk County Vote Results]])</f>
        <v>844</v>
      </c>
      <c r="F10" s="14"/>
    </row>
    <row r="11" spans="1:6" x14ac:dyDescent="0.2">
      <c r="A11" s="2" t="s">
        <v>10</v>
      </c>
      <c r="B11" s="3">
        <v>680</v>
      </c>
      <c r="C11" s="16">
        <v>228</v>
      </c>
      <c r="D11" s="3">
        <v>642</v>
      </c>
      <c r="E11" s="12">
        <f>SUM(GovByCongressionalDistrict3General[[#This Row],[Part of Nassau County Vote Results]:[Part of Suffolk County Vote Results]])</f>
        <v>1550</v>
      </c>
      <c r="F11" s="13">
        <f>GovByCongressionalDistrict3General[[#This Row],[Total Votes by Party]]</f>
        <v>1550</v>
      </c>
    </row>
    <row r="12" spans="1:6" x14ac:dyDescent="0.2">
      <c r="A12" s="4" t="s">
        <v>11</v>
      </c>
      <c r="B12" s="3">
        <v>556</v>
      </c>
      <c r="C12" s="16">
        <v>100</v>
      </c>
      <c r="D12" s="3">
        <v>520</v>
      </c>
      <c r="E12" s="12">
        <f>SUM(GovByCongressionalDistrict3General[[#This Row],[Part of Nassau County Vote Results]:[Part of Suffolk County Vote Results]])</f>
        <v>1176</v>
      </c>
      <c r="F12" s="13">
        <f>GovByCongressionalDistrict3General[[#This Row],[Total Votes by Party]]</f>
        <v>1176</v>
      </c>
    </row>
    <row r="13" spans="1:6" x14ac:dyDescent="0.2">
      <c r="A13" s="4" t="s">
        <v>0</v>
      </c>
      <c r="B13" s="3">
        <v>3302</v>
      </c>
      <c r="C13" s="16">
        <v>745</v>
      </c>
      <c r="D13" s="3">
        <v>1038</v>
      </c>
      <c r="E13" s="12">
        <f>SUM(GovByCongressionalDistrict3General[[#This Row],[Part of Nassau County Vote Results]:[Part of Suffolk County Vote Results]])</f>
        <v>5085</v>
      </c>
      <c r="F13" s="14"/>
    </row>
    <row r="14" spans="1:6" x14ac:dyDescent="0.2">
      <c r="A14" s="4" t="s">
        <v>1</v>
      </c>
      <c r="B14" s="3">
        <v>257</v>
      </c>
      <c r="C14" s="16">
        <v>0</v>
      </c>
      <c r="D14" s="3">
        <v>69</v>
      </c>
      <c r="E14" s="12">
        <f>SUM(GovByCongressionalDistrict3General[[#This Row],[Part of Nassau County Vote Results]:[Part of Suffolk County Vote Results]])</f>
        <v>326</v>
      </c>
      <c r="F14" s="14"/>
    </row>
    <row r="15" spans="1:6" x14ac:dyDescent="0.2">
      <c r="A15" s="4" t="s">
        <v>2</v>
      </c>
      <c r="B15" s="5">
        <v>73</v>
      </c>
      <c r="C15" s="5">
        <v>24</v>
      </c>
      <c r="D15" s="5">
        <v>34</v>
      </c>
      <c r="E15" s="12">
        <f>SUM(GovByCongressionalDistrict3General[[#This Row],[Part of Nassau County Vote Results]:[Part of Suffolk County Vote Results]])</f>
        <v>131</v>
      </c>
      <c r="F15" s="14"/>
    </row>
    <row r="16" spans="1:6" hidden="1" x14ac:dyDescent="0.2">
      <c r="A16" s="4" t="s">
        <v>4</v>
      </c>
      <c r="B16" s="6">
        <f>SUBTOTAL(109,GovByCongressionalDistrict3General[Part of Nassau County Vote Results])</f>
        <v>138076</v>
      </c>
      <c r="C16" s="6"/>
      <c r="D16" s="6">
        <f>SUBTOTAL(109,GovByCongressionalDistrict3General[Part of Suffolk County Vote Results])</f>
        <v>98633</v>
      </c>
      <c r="E16" s="6"/>
      <c r="F16" s="9"/>
    </row>
    <row r="17" spans="2:2" x14ac:dyDescent="0.2">
      <c r="B17" s="15"/>
    </row>
  </sheetData>
  <pageMargins left="0.7" right="0.7" top="0.75" bottom="0.75" header="0.3" footer="0.3"/>
  <pageSetup orientation="portrait" horizontalDpi="4294967295" verticalDpi="4294967295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F9D17-30FE-4E03-8C11-86A42B2CAFA6}">
  <dimension ref="A1:D17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55</v>
      </c>
    </row>
    <row r="2" spans="1:4" ht="24.95" customHeight="1" x14ac:dyDescent="0.2">
      <c r="A2" s="7" t="s">
        <v>12</v>
      </c>
      <c r="B2" s="8" t="s">
        <v>17</v>
      </c>
      <c r="C2" s="10" t="s">
        <v>105</v>
      </c>
      <c r="D2" s="11" t="s">
        <v>5</v>
      </c>
    </row>
    <row r="3" spans="1:4" x14ac:dyDescent="0.2">
      <c r="A3" s="2" t="s">
        <v>3</v>
      </c>
      <c r="B3" s="3">
        <v>146101</v>
      </c>
      <c r="C3" s="12">
        <f>GovByCongressionalDistrict4General[[#This Row],[Part of Nassau County Vote Results]]</f>
        <v>146101</v>
      </c>
      <c r="D3" s="13">
        <f>SUM(C3,C7,C8,C9)</f>
        <v>151693</v>
      </c>
    </row>
    <row r="4" spans="1:4" x14ac:dyDescent="0.2">
      <c r="A4" s="2" t="s">
        <v>14</v>
      </c>
      <c r="B4" s="3">
        <v>93810</v>
      </c>
      <c r="C4" s="12">
        <f>GovByCongressionalDistrict4General[[#This Row],[Part of Nassau County Vote Results]]</f>
        <v>93810</v>
      </c>
      <c r="D4" s="13">
        <f>SUM(C4,C5,C10)</f>
        <v>103210</v>
      </c>
    </row>
    <row r="5" spans="1:4" x14ac:dyDescent="0.2">
      <c r="A5" s="2" t="s">
        <v>15</v>
      </c>
      <c r="B5" s="3">
        <v>8618</v>
      </c>
      <c r="C5" s="12">
        <f>GovByCongressionalDistrict4General[[#This Row],[Part of Nassau County Vote Results]]</f>
        <v>8618</v>
      </c>
      <c r="D5" s="14"/>
    </row>
    <row r="6" spans="1:4" x14ac:dyDescent="0.2">
      <c r="A6" s="2" t="s">
        <v>6</v>
      </c>
      <c r="B6" s="3">
        <v>2124</v>
      </c>
      <c r="C6" s="12">
        <f>GovByCongressionalDistrict4General[[#This Row],[Part of Nassau County Vote Results]]</f>
        <v>2124</v>
      </c>
      <c r="D6" s="13">
        <f>GovByCongressionalDistrict4General[[#This Row],[Total Votes by Party]]</f>
        <v>2124</v>
      </c>
    </row>
    <row r="7" spans="1:4" x14ac:dyDescent="0.2">
      <c r="A7" s="2" t="s">
        <v>7</v>
      </c>
      <c r="B7" s="3">
        <v>2452</v>
      </c>
      <c r="C7" s="12">
        <f>GovByCongressionalDistrict4General[[#This Row],[Part of Nassau County Vote Results]]</f>
        <v>2452</v>
      </c>
      <c r="D7" s="14"/>
    </row>
    <row r="8" spans="1:4" x14ac:dyDescent="0.2">
      <c r="A8" s="2" t="s">
        <v>8</v>
      </c>
      <c r="B8" s="3">
        <v>1997</v>
      </c>
      <c r="C8" s="12">
        <f>GovByCongressionalDistrict4General[[#This Row],[Part of Nassau County Vote Results]]</f>
        <v>1997</v>
      </c>
      <c r="D8" s="14"/>
    </row>
    <row r="9" spans="1:4" x14ac:dyDescent="0.2">
      <c r="A9" s="2" t="s">
        <v>9</v>
      </c>
      <c r="B9" s="3">
        <v>1143</v>
      </c>
      <c r="C9" s="12">
        <f>GovByCongressionalDistrict4General[[#This Row],[Part of Nassau County Vote Results]]</f>
        <v>1143</v>
      </c>
      <c r="D9" s="14"/>
    </row>
    <row r="10" spans="1:4" x14ac:dyDescent="0.2">
      <c r="A10" s="2" t="s">
        <v>16</v>
      </c>
      <c r="B10" s="3">
        <v>782</v>
      </c>
      <c r="C10" s="12">
        <f>GovByCongressionalDistrict4General[[#This Row],[Part of Nassau County Vote Results]]</f>
        <v>782</v>
      </c>
      <c r="D10" s="14"/>
    </row>
    <row r="11" spans="1:4" x14ac:dyDescent="0.2">
      <c r="A11" s="2" t="s">
        <v>10</v>
      </c>
      <c r="B11" s="3">
        <v>1529</v>
      </c>
      <c r="C11" s="12">
        <f>GovByCongressionalDistrict4General[[#This Row],[Part of Nassau County Vote Results]]</f>
        <v>1529</v>
      </c>
      <c r="D11" s="13">
        <f>GovByCongressionalDistrict4General[[#This Row],[Total Votes by Party]]</f>
        <v>1529</v>
      </c>
    </row>
    <row r="12" spans="1:4" x14ac:dyDescent="0.2">
      <c r="A12" s="4" t="s">
        <v>11</v>
      </c>
      <c r="B12" s="5">
        <v>977</v>
      </c>
      <c r="C12" s="12">
        <f>GovByCongressionalDistrict4General[[#This Row],[Part of Nassau County Vote Results]]</f>
        <v>977</v>
      </c>
      <c r="D12" s="13">
        <f>GovByCongressionalDistrict4General[[#This Row],[Total Votes by Party]]</f>
        <v>977</v>
      </c>
    </row>
    <row r="13" spans="1:4" x14ac:dyDescent="0.2">
      <c r="A13" s="4" t="s">
        <v>0</v>
      </c>
      <c r="B13" s="5">
        <v>6050</v>
      </c>
      <c r="C13" s="12">
        <f>GovByCongressionalDistrict4General[[#This Row],[Part of Nassau County Vote Results]]</f>
        <v>6050</v>
      </c>
      <c r="D13" s="14"/>
    </row>
    <row r="14" spans="1:4" x14ac:dyDescent="0.2">
      <c r="A14" s="4" t="s">
        <v>1</v>
      </c>
      <c r="B14" s="5">
        <v>720</v>
      </c>
      <c r="C14" s="12">
        <f>GovByCongressionalDistrict4General[[#This Row],[Part of Nassau County Vote Results]]</f>
        <v>720</v>
      </c>
      <c r="D14" s="14"/>
    </row>
    <row r="15" spans="1:4" x14ac:dyDescent="0.2">
      <c r="A15" s="4" t="s">
        <v>2</v>
      </c>
      <c r="B15" s="5">
        <v>168</v>
      </c>
      <c r="C15" s="12">
        <f>GovByCongressionalDistrict4General[[#This Row],[Part of Nassau County Vote Results]]</f>
        <v>168</v>
      </c>
      <c r="D15" s="14"/>
    </row>
    <row r="16" spans="1:4" hidden="1" x14ac:dyDescent="0.2">
      <c r="A16" s="4" t="s">
        <v>4</v>
      </c>
      <c r="B16" s="6">
        <f>SUBTOTAL(109,GovByCongressionalDistrict4General[Total Votes by Candidate])</f>
        <v>259533</v>
      </c>
      <c r="C16" s="6"/>
      <c r="D16" s="9"/>
    </row>
    <row r="17" spans="2:2" x14ac:dyDescent="0.2">
      <c r="B17" s="15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EEB38-62AD-40CE-AE8D-3BB54F3098CF}">
  <dimension ref="A1:E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75" customHeight="1" x14ac:dyDescent="0.2">
      <c r="A1" s="1" t="s">
        <v>56</v>
      </c>
    </row>
    <row r="2" spans="1:5" ht="25.5" x14ac:dyDescent="0.2">
      <c r="A2" s="7" t="s">
        <v>12</v>
      </c>
      <c r="B2" s="8" t="s">
        <v>17</v>
      </c>
      <c r="C2" s="8" t="s">
        <v>18</v>
      </c>
      <c r="D2" s="10" t="s">
        <v>105</v>
      </c>
      <c r="E2" s="11" t="s">
        <v>5</v>
      </c>
    </row>
    <row r="3" spans="1:5" x14ac:dyDescent="0.2">
      <c r="A3" s="2" t="s">
        <v>3</v>
      </c>
      <c r="B3" s="3">
        <v>21381</v>
      </c>
      <c r="C3" s="16">
        <v>136943</v>
      </c>
      <c r="D3" s="12">
        <f>SUM(GovByCongressionalDistrict5General[[#This Row],[Part of Nassau County Vote Results]:[Part of Queens County Vote Results]])</f>
        <v>158324</v>
      </c>
      <c r="E3" s="13">
        <f>SUM(D3,D7,D8,D9)</f>
        <v>161829</v>
      </c>
    </row>
    <row r="4" spans="1:5" x14ac:dyDescent="0.2">
      <c r="A4" s="2" t="s">
        <v>14</v>
      </c>
      <c r="B4" s="3">
        <v>4306</v>
      </c>
      <c r="C4" s="16">
        <v>12570</v>
      </c>
      <c r="D4" s="12">
        <f>SUM(GovByCongressionalDistrict5General[[#This Row],[Part of Nassau County Vote Results]:[Part of Queens County Vote Results]])</f>
        <v>16876</v>
      </c>
      <c r="E4" s="13">
        <f>SUM(D4,D5,D10)</f>
        <v>18929</v>
      </c>
    </row>
    <row r="5" spans="1:5" x14ac:dyDescent="0.2">
      <c r="A5" s="2" t="s">
        <v>15</v>
      </c>
      <c r="B5" s="3">
        <v>338</v>
      </c>
      <c r="C5" s="16">
        <v>1550</v>
      </c>
      <c r="D5" s="12">
        <f>SUM(GovByCongressionalDistrict5General[[#This Row],[Part of Nassau County Vote Results]:[Part of Queens County Vote Results]])</f>
        <v>1888</v>
      </c>
      <c r="E5" s="14"/>
    </row>
    <row r="6" spans="1:5" x14ac:dyDescent="0.2">
      <c r="A6" s="2" t="s">
        <v>6</v>
      </c>
      <c r="B6" s="3">
        <v>168</v>
      </c>
      <c r="C6" s="16">
        <v>1083</v>
      </c>
      <c r="D6" s="12">
        <f>SUM(GovByCongressionalDistrict5General[[#This Row],[Part of Nassau County Vote Results]:[Part of Queens County Vote Results]])</f>
        <v>1251</v>
      </c>
      <c r="E6" s="13">
        <f>GovByCongressionalDistrict5General[[#This Row],[Total Votes by Party]]</f>
        <v>1251</v>
      </c>
    </row>
    <row r="7" spans="1:5" x14ac:dyDescent="0.2">
      <c r="A7" s="2" t="s">
        <v>7</v>
      </c>
      <c r="B7" s="3">
        <v>241</v>
      </c>
      <c r="C7" s="16">
        <v>1612</v>
      </c>
      <c r="D7" s="12">
        <f>SUM(GovByCongressionalDistrict5General[[#This Row],[Part of Nassau County Vote Results]:[Part of Queens County Vote Results]])</f>
        <v>1853</v>
      </c>
      <c r="E7" s="14"/>
    </row>
    <row r="8" spans="1:5" x14ac:dyDescent="0.2">
      <c r="A8" s="2" t="s">
        <v>8</v>
      </c>
      <c r="B8" s="3">
        <v>172</v>
      </c>
      <c r="C8" s="16">
        <v>1202</v>
      </c>
      <c r="D8" s="12">
        <f>SUM(GovByCongressionalDistrict5General[[#This Row],[Part of Nassau County Vote Results]:[Part of Queens County Vote Results]])</f>
        <v>1374</v>
      </c>
      <c r="E8" s="14"/>
    </row>
    <row r="9" spans="1:5" x14ac:dyDescent="0.2">
      <c r="A9" s="2" t="s">
        <v>9</v>
      </c>
      <c r="B9" s="3">
        <v>59</v>
      </c>
      <c r="C9" s="16">
        <v>219</v>
      </c>
      <c r="D9" s="12">
        <f>SUM(GovByCongressionalDistrict5General[[#This Row],[Part of Nassau County Vote Results]:[Part of Queens County Vote Results]])</f>
        <v>278</v>
      </c>
      <c r="E9" s="14"/>
    </row>
    <row r="10" spans="1:5" x14ac:dyDescent="0.2">
      <c r="A10" s="2" t="s">
        <v>16</v>
      </c>
      <c r="B10" s="3">
        <v>37</v>
      </c>
      <c r="C10" s="16">
        <v>128</v>
      </c>
      <c r="D10" s="12">
        <f>SUM(GovByCongressionalDistrict5General[[#This Row],[Part of Nassau County Vote Results]:[Part of Queens County Vote Results]])</f>
        <v>165</v>
      </c>
      <c r="E10" s="14"/>
    </row>
    <row r="11" spans="1:5" x14ac:dyDescent="0.2">
      <c r="A11" s="2" t="s">
        <v>10</v>
      </c>
      <c r="B11" s="3">
        <v>99</v>
      </c>
      <c r="C11" s="16">
        <v>511</v>
      </c>
      <c r="D11" s="12">
        <f>SUM(GovByCongressionalDistrict5General[[#This Row],[Part of Nassau County Vote Results]:[Part of Queens County Vote Results]])</f>
        <v>610</v>
      </c>
      <c r="E11" s="13">
        <f>GovByCongressionalDistrict5General[[#This Row],[Total Votes by Party]]</f>
        <v>610</v>
      </c>
    </row>
    <row r="12" spans="1:5" x14ac:dyDescent="0.2">
      <c r="A12" s="4" t="s">
        <v>11</v>
      </c>
      <c r="B12" s="3">
        <v>69</v>
      </c>
      <c r="C12" s="16">
        <v>225</v>
      </c>
      <c r="D12" s="12">
        <f>SUM(GovByCongressionalDistrict5General[[#This Row],[Part of Nassau County Vote Results]:[Part of Queens County Vote Results]])</f>
        <v>294</v>
      </c>
      <c r="E12" s="13">
        <f>GovByCongressionalDistrict5General[[#This Row],[Total Votes by Party]]</f>
        <v>294</v>
      </c>
    </row>
    <row r="13" spans="1:5" x14ac:dyDescent="0.2">
      <c r="A13" s="4" t="s">
        <v>0</v>
      </c>
      <c r="B13" s="3">
        <v>563</v>
      </c>
      <c r="C13" s="16">
        <v>2307</v>
      </c>
      <c r="D13" s="12">
        <f>SUM(GovByCongressionalDistrict5General[[#This Row],[Part of Nassau County Vote Results]:[Part of Queens County Vote Results]])</f>
        <v>2870</v>
      </c>
      <c r="E13" s="14"/>
    </row>
    <row r="14" spans="1:5" x14ac:dyDescent="0.2">
      <c r="A14" s="4" t="s">
        <v>1</v>
      </c>
      <c r="B14" s="3">
        <v>70</v>
      </c>
      <c r="C14" s="16">
        <v>0</v>
      </c>
      <c r="D14" s="12">
        <f>SUM(GovByCongressionalDistrict5General[[#This Row],[Part of Nassau County Vote Results]:[Part of Queens County Vote Results]])</f>
        <v>70</v>
      </c>
      <c r="E14" s="14"/>
    </row>
    <row r="15" spans="1:5" x14ac:dyDescent="0.2">
      <c r="A15" s="4" t="s">
        <v>2</v>
      </c>
      <c r="B15" s="5">
        <v>13</v>
      </c>
      <c r="C15" s="5">
        <v>121</v>
      </c>
      <c r="D15" s="12">
        <f>SUM(GovByCongressionalDistrict5General[[#This Row],[Part of Nassau County Vote Results]:[Part of Queens County Vote Results]])</f>
        <v>134</v>
      </c>
      <c r="E15" s="14"/>
    </row>
    <row r="16" spans="1:5" hidden="1" x14ac:dyDescent="0.2">
      <c r="A16" s="4" t="s">
        <v>4</v>
      </c>
      <c r="B16" s="6">
        <f>SUBTOTAL(109,GovByCongressionalDistrict5General[Part of Nassau County Vote Results])</f>
        <v>27516</v>
      </c>
      <c r="C16" s="6">
        <f>SUBTOTAL(109,GovByCongressionalDistrict5General[Part of Queens County Vote Results])</f>
        <v>158471</v>
      </c>
      <c r="D16" s="6"/>
      <c r="E16" s="9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E5B81-0EAC-4AB7-9052-823C3F632FD0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57</v>
      </c>
    </row>
    <row r="2" spans="1:4" ht="24.95" customHeight="1" x14ac:dyDescent="0.2">
      <c r="A2" s="7" t="s">
        <v>12</v>
      </c>
      <c r="B2" s="8" t="s">
        <v>18</v>
      </c>
      <c r="C2" s="10" t="s">
        <v>105</v>
      </c>
      <c r="D2" s="11" t="s">
        <v>5</v>
      </c>
    </row>
    <row r="3" spans="1:4" x14ac:dyDescent="0.2">
      <c r="A3" s="2" t="s">
        <v>3</v>
      </c>
      <c r="B3" s="16">
        <v>95899</v>
      </c>
      <c r="C3" s="12">
        <f>GovByCongressionalDistrict6General[[#This Row],[Part of Queens County Vote Results]]</f>
        <v>95899</v>
      </c>
      <c r="D3" s="13">
        <f>SUM(C3,C7,C8,C9)</f>
        <v>100921</v>
      </c>
    </row>
    <row r="4" spans="1:4" x14ac:dyDescent="0.2">
      <c r="A4" s="2" t="s">
        <v>14</v>
      </c>
      <c r="B4" s="16">
        <v>36345</v>
      </c>
      <c r="C4" s="12">
        <f>GovByCongressionalDistrict6General[[#This Row],[Part of Queens County Vote Results]]</f>
        <v>36345</v>
      </c>
      <c r="D4" s="13">
        <f>SUM(C4,C5,C10)</f>
        <v>40211</v>
      </c>
    </row>
    <row r="5" spans="1:4" x14ac:dyDescent="0.2">
      <c r="A5" s="2" t="s">
        <v>15</v>
      </c>
      <c r="B5" s="16">
        <v>3577</v>
      </c>
      <c r="C5" s="12">
        <f>GovByCongressionalDistrict6General[[#This Row],[Part of Queens County Vote Results]]</f>
        <v>3577</v>
      </c>
      <c r="D5" s="14"/>
    </row>
    <row r="6" spans="1:4" x14ac:dyDescent="0.2">
      <c r="A6" s="2" t="s">
        <v>6</v>
      </c>
      <c r="B6" s="16">
        <v>2787</v>
      </c>
      <c r="C6" s="12">
        <f>GovByCongressionalDistrict6General[[#This Row],[Part of Queens County Vote Results]]</f>
        <v>2787</v>
      </c>
      <c r="D6" s="13">
        <f>GovByCongressionalDistrict6General[[#This Row],[Total Votes by Party]]</f>
        <v>2787</v>
      </c>
    </row>
    <row r="7" spans="1:4" x14ac:dyDescent="0.2">
      <c r="A7" s="2" t="s">
        <v>7</v>
      </c>
      <c r="B7" s="16">
        <v>2845</v>
      </c>
      <c r="C7" s="12">
        <f>GovByCongressionalDistrict6General[[#This Row],[Part of Queens County Vote Results]]</f>
        <v>2845</v>
      </c>
      <c r="D7" s="14"/>
    </row>
    <row r="8" spans="1:4" x14ac:dyDescent="0.2">
      <c r="A8" s="2" t="s">
        <v>8</v>
      </c>
      <c r="B8" s="16">
        <v>1759</v>
      </c>
      <c r="C8" s="12">
        <f>GovByCongressionalDistrict6General[[#This Row],[Part of Queens County Vote Results]]</f>
        <v>1759</v>
      </c>
      <c r="D8" s="14"/>
    </row>
    <row r="9" spans="1:4" x14ac:dyDescent="0.2">
      <c r="A9" s="2" t="s">
        <v>9</v>
      </c>
      <c r="B9" s="16">
        <v>418</v>
      </c>
      <c r="C9" s="12">
        <f>GovByCongressionalDistrict6General[[#This Row],[Part of Queens County Vote Results]]</f>
        <v>418</v>
      </c>
      <c r="D9" s="14"/>
    </row>
    <row r="10" spans="1:4" x14ac:dyDescent="0.2">
      <c r="A10" s="2" t="s">
        <v>16</v>
      </c>
      <c r="B10" s="16">
        <v>289</v>
      </c>
      <c r="C10" s="12">
        <f>GovByCongressionalDistrict6General[[#This Row],[Part of Queens County Vote Results]]</f>
        <v>289</v>
      </c>
      <c r="D10" s="14"/>
    </row>
    <row r="11" spans="1:4" x14ac:dyDescent="0.2">
      <c r="A11" s="2" t="s">
        <v>10</v>
      </c>
      <c r="B11" s="16">
        <v>1061</v>
      </c>
      <c r="C11" s="12">
        <f>GovByCongressionalDistrict6General[[#This Row],[Part of Queens County Vote Results]]</f>
        <v>1061</v>
      </c>
      <c r="D11" s="13">
        <f>GovByCongressionalDistrict6General[[#This Row],[Total Votes by Party]]</f>
        <v>1061</v>
      </c>
    </row>
    <row r="12" spans="1:4" x14ac:dyDescent="0.2">
      <c r="A12" s="4" t="s">
        <v>11</v>
      </c>
      <c r="B12" s="16">
        <v>676</v>
      </c>
      <c r="C12" s="12">
        <f>GovByCongressionalDistrict6General[[#This Row],[Part of Queens County Vote Results]]</f>
        <v>676</v>
      </c>
      <c r="D12" s="13">
        <f>GovByCongressionalDistrict6General[[#This Row],[Total Votes by Party]]</f>
        <v>676</v>
      </c>
    </row>
    <row r="13" spans="1:4" x14ac:dyDescent="0.2">
      <c r="A13" s="4" t="s">
        <v>0</v>
      </c>
      <c r="B13" s="16">
        <v>2558</v>
      </c>
      <c r="C13" s="12">
        <f>GovByCongressionalDistrict6General[[#This Row],[Part of Queens County Vote Results]]</f>
        <v>2558</v>
      </c>
      <c r="D13" s="14"/>
    </row>
    <row r="14" spans="1:4" x14ac:dyDescent="0.2">
      <c r="A14" s="4" t="s">
        <v>1</v>
      </c>
      <c r="B14" s="16">
        <v>0</v>
      </c>
      <c r="C14" s="12">
        <f>GovByCongressionalDistrict6General[[#This Row],[Part of Queens County Vote Results]]</f>
        <v>0</v>
      </c>
      <c r="D14" s="14"/>
    </row>
    <row r="15" spans="1:4" x14ac:dyDescent="0.2">
      <c r="A15" s="4" t="s">
        <v>2</v>
      </c>
      <c r="B15" s="5">
        <v>211</v>
      </c>
      <c r="C15" s="12">
        <f>GovByCongressionalDistrict6General[[#This Row],[Part of Queens County Vote Results]]</f>
        <v>211</v>
      </c>
      <c r="D15" s="14"/>
    </row>
    <row r="16" spans="1:4" hidden="1" x14ac:dyDescent="0.2">
      <c r="A16" s="4" t="s">
        <v>4</v>
      </c>
      <c r="B16" s="6">
        <f>SUBTOTAL(109,GovByCongressionalDistrict6General[Total Votes by Candidate])</f>
        <v>145656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0E154-557E-4AD7-96C9-42B066659544}">
  <dimension ref="A1:F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6" width="20.5703125" customWidth="1"/>
    <col min="7" max="8" width="23.5703125" customWidth="1"/>
  </cols>
  <sheetData>
    <row r="1" spans="1:6" ht="24.75" customHeight="1" x14ac:dyDescent="0.2">
      <c r="A1" s="1" t="s">
        <v>58</v>
      </c>
    </row>
    <row r="2" spans="1:6" ht="25.5" x14ac:dyDescent="0.2">
      <c r="A2" s="7" t="s">
        <v>12</v>
      </c>
      <c r="B2" s="8" t="s">
        <v>19</v>
      </c>
      <c r="C2" s="8" t="s">
        <v>20</v>
      </c>
      <c r="D2" s="8" t="s">
        <v>18</v>
      </c>
      <c r="E2" s="10" t="s">
        <v>105</v>
      </c>
      <c r="F2" s="11" t="s">
        <v>5</v>
      </c>
    </row>
    <row r="3" spans="1:6" x14ac:dyDescent="0.2">
      <c r="A3" s="2" t="s">
        <v>3</v>
      </c>
      <c r="B3" s="16">
        <v>95181</v>
      </c>
      <c r="C3" s="16">
        <v>17450</v>
      </c>
      <c r="D3" s="16">
        <v>15584</v>
      </c>
      <c r="E3" s="12">
        <f>SUM(GovByCongressionalDistrict7General[[#This Row],[Part of Kings County Vote Results]:[Part of Queens County Vote Results]])</f>
        <v>128215</v>
      </c>
      <c r="F3" s="13">
        <f>SUM(E3,E7,E8,E9)</f>
        <v>139453</v>
      </c>
    </row>
    <row r="4" spans="1:6" x14ac:dyDescent="0.2">
      <c r="A4" s="2" t="s">
        <v>14</v>
      </c>
      <c r="B4" s="16">
        <v>6999</v>
      </c>
      <c r="C4" s="16">
        <v>2123</v>
      </c>
      <c r="D4" s="16">
        <v>2502</v>
      </c>
      <c r="E4" s="12">
        <f>SUM(GovByCongressionalDistrict7General[[#This Row],[Part of Kings County Vote Results]:[Part of Queens County Vote Results]])</f>
        <v>11624</v>
      </c>
      <c r="F4" s="13">
        <f>SUM(E4,E5,E10)</f>
        <v>13071</v>
      </c>
    </row>
    <row r="5" spans="1:6" x14ac:dyDescent="0.2">
      <c r="A5" s="2" t="s">
        <v>15</v>
      </c>
      <c r="B5" s="16">
        <v>768</v>
      </c>
      <c r="C5" s="16">
        <v>155</v>
      </c>
      <c r="D5" s="16">
        <v>305</v>
      </c>
      <c r="E5" s="12">
        <f>SUM(GovByCongressionalDistrict7General[[#This Row],[Part of Kings County Vote Results]:[Part of Queens County Vote Results]])</f>
        <v>1228</v>
      </c>
      <c r="F5" s="14"/>
    </row>
    <row r="6" spans="1:6" x14ac:dyDescent="0.2">
      <c r="A6" s="2" t="s">
        <v>6</v>
      </c>
      <c r="B6" s="16">
        <v>4672</v>
      </c>
      <c r="C6" s="16">
        <v>590</v>
      </c>
      <c r="D6" s="16">
        <v>606</v>
      </c>
      <c r="E6" s="12">
        <f>SUM(GovByCongressionalDistrict7General[[#This Row],[Part of Kings County Vote Results]:[Part of Queens County Vote Results]])</f>
        <v>5868</v>
      </c>
      <c r="F6" s="13">
        <f>GovByCongressionalDistrict7General[[#This Row],[Total Votes by Party]]</f>
        <v>5868</v>
      </c>
    </row>
    <row r="7" spans="1:6" x14ac:dyDescent="0.2">
      <c r="A7" s="2" t="s">
        <v>7</v>
      </c>
      <c r="B7" s="16">
        <v>7663</v>
      </c>
      <c r="C7" s="16">
        <v>661</v>
      </c>
      <c r="D7" s="16">
        <v>681</v>
      </c>
      <c r="E7" s="12">
        <f>SUM(GovByCongressionalDistrict7General[[#This Row],[Part of Kings County Vote Results]:[Part of Queens County Vote Results]])</f>
        <v>9005</v>
      </c>
      <c r="F7" s="14"/>
    </row>
    <row r="8" spans="1:6" x14ac:dyDescent="0.2">
      <c r="A8" s="2" t="s">
        <v>8</v>
      </c>
      <c r="B8" s="16">
        <v>1065</v>
      </c>
      <c r="C8" s="16">
        <v>207</v>
      </c>
      <c r="D8" s="16">
        <v>176</v>
      </c>
      <c r="E8" s="12">
        <f>SUM(GovByCongressionalDistrict7General[[#This Row],[Part of Kings County Vote Results]:[Part of Queens County Vote Results]])</f>
        <v>1448</v>
      </c>
      <c r="F8" s="14"/>
    </row>
    <row r="9" spans="1:6" x14ac:dyDescent="0.2">
      <c r="A9" s="2" t="s">
        <v>9</v>
      </c>
      <c r="B9" s="16">
        <v>612</v>
      </c>
      <c r="C9" s="16">
        <v>88</v>
      </c>
      <c r="D9" s="16">
        <v>85</v>
      </c>
      <c r="E9" s="12">
        <f>SUM(GovByCongressionalDistrict7General[[#This Row],[Part of Kings County Vote Results]:[Part of Queens County Vote Results]])</f>
        <v>785</v>
      </c>
      <c r="F9" s="14"/>
    </row>
    <row r="10" spans="1:6" x14ac:dyDescent="0.2">
      <c r="A10" s="2" t="s">
        <v>16</v>
      </c>
      <c r="B10" s="16">
        <v>138</v>
      </c>
      <c r="C10" s="16">
        <v>40</v>
      </c>
      <c r="D10" s="16">
        <v>41</v>
      </c>
      <c r="E10" s="12">
        <f>SUM(GovByCongressionalDistrict7General[[#This Row],[Part of Kings County Vote Results]:[Part of Queens County Vote Results]])</f>
        <v>219</v>
      </c>
      <c r="F10" s="14"/>
    </row>
    <row r="11" spans="1:6" x14ac:dyDescent="0.2">
      <c r="A11" s="2" t="s">
        <v>10</v>
      </c>
      <c r="B11" s="16">
        <v>840</v>
      </c>
      <c r="C11" s="16">
        <v>101</v>
      </c>
      <c r="D11" s="16">
        <v>145</v>
      </c>
      <c r="E11" s="12">
        <f>SUM(GovByCongressionalDistrict7General[[#This Row],[Part of Kings County Vote Results]:[Part of Queens County Vote Results]])</f>
        <v>1086</v>
      </c>
      <c r="F11" s="13">
        <f>GovByCongressionalDistrict7General[[#This Row],[Total Votes by Party]]</f>
        <v>1086</v>
      </c>
    </row>
    <row r="12" spans="1:6" x14ac:dyDescent="0.2">
      <c r="A12" s="4" t="s">
        <v>11</v>
      </c>
      <c r="B12" s="16">
        <v>1038</v>
      </c>
      <c r="C12" s="16">
        <v>100</v>
      </c>
      <c r="D12" s="16">
        <v>105</v>
      </c>
      <c r="E12" s="12">
        <f>SUM(GovByCongressionalDistrict7General[[#This Row],[Part of Kings County Vote Results]:[Part of Queens County Vote Results]])</f>
        <v>1243</v>
      </c>
      <c r="F12" s="13">
        <f>GovByCongressionalDistrict7General[[#This Row],[Total Votes by Party]]</f>
        <v>1243</v>
      </c>
    </row>
    <row r="13" spans="1:6" x14ac:dyDescent="0.2">
      <c r="A13" s="4" t="s">
        <v>0</v>
      </c>
      <c r="B13" s="16">
        <v>1636</v>
      </c>
      <c r="C13" s="16">
        <v>332</v>
      </c>
      <c r="D13" s="16">
        <v>314</v>
      </c>
      <c r="E13" s="12">
        <f>SUM(GovByCongressionalDistrict7General[[#This Row],[Part of Kings County Vote Results]:[Part of Queens County Vote Results]])</f>
        <v>2282</v>
      </c>
      <c r="F13" s="14"/>
    </row>
    <row r="14" spans="1:6" x14ac:dyDescent="0.2">
      <c r="A14" s="4" t="s">
        <v>1</v>
      </c>
      <c r="B14" s="16">
        <v>0</v>
      </c>
      <c r="C14" s="16">
        <v>0</v>
      </c>
      <c r="D14" s="16">
        <v>0</v>
      </c>
      <c r="E14" s="12">
        <f>SUM(GovByCongressionalDistrict7General[[#This Row],[Part of Kings County Vote Results]:[Part of Queens County Vote Results]])</f>
        <v>0</v>
      </c>
      <c r="F14" s="14"/>
    </row>
    <row r="15" spans="1:6" x14ac:dyDescent="0.2">
      <c r="A15" s="4" t="s">
        <v>2</v>
      </c>
      <c r="B15" s="5">
        <v>521</v>
      </c>
      <c r="C15" s="5">
        <v>60</v>
      </c>
      <c r="D15" s="5">
        <v>43</v>
      </c>
      <c r="E15" s="12">
        <f>SUM(GovByCongressionalDistrict7General[[#This Row],[Part of Kings County Vote Results]:[Part of Queens County Vote Results]])</f>
        <v>624</v>
      </c>
      <c r="F15" s="14"/>
    </row>
    <row r="16" spans="1:6" hidden="1" x14ac:dyDescent="0.2">
      <c r="A16" s="4" t="s">
        <v>4</v>
      </c>
      <c r="B16" s="6">
        <f>SUBTOTAL(109,GovByCongressionalDistrict7General[Part of Kings County Vote Results])</f>
        <v>121133</v>
      </c>
      <c r="C16" s="6"/>
      <c r="D16" s="6">
        <f>SUBTOTAL(109,GovByCongressionalDistrict7General[Part of Queens County Vote Results])</f>
        <v>20587</v>
      </c>
      <c r="E16" s="6"/>
      <c r="F16" s="9"/>
    </row>
  </sheetData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E18E7-5834-4FA2-A031-446F7605AA8E}">
  <dimension ref="A1:E16"/>
  <sheetViews>
    <sheetView workbookViewId="0">
      <selection activeCell="B19" sqref="B19"/>
    </sheetView>
  </sheetViews>
  <sheetFormatPr defaultRowHeight="12.75" x14ac:dyDescent="0.2"/>
  <cols>
    <col min="1" max="1" width="25.5703125" customWidth="1"/>
    <col min="2" max="5" width="20.5703125" customWidth="1"/>
    <col min="6" max="7" width="23.5703125" customWidth="1"/>
  </cols>
  <sheetData>
    <row r="1" spans="1:5" ht="24.75" customHeight="1" x14ac:dyDescent="0.2">
      <c r="A1" s="1" t="s">
        <v>59</v>
      </c>
    </row>
    <row r="2" spans="1:5" ht="25.5" x14ac:dyDescent="0.2">
      <c r="A2" s="7" t="s">
        <v>12</v>
      </c>
      <c r="B2" s="8" t="s">
        <v>19</v>
      </c>
      <c r="C2" s="8" t="s">
        <v>18</v>
      </c>
      <c r="D2" s="10" t="s">
        <v>105</v>
      </c>
      <c r="E2" s="11" t="s">
        <v>5</v>
      </c>
    </row>
    <row r="3" spans="1:5" x14ac:dyDescent="0.2">
      <c r="A3" s="2" t="s">
        <v>3</v>
      </c>
      <c r="B3" s="16">
        <v>159778</v>
      </c>
      <c r="C3" s="16">
        <v>6429</v>
      </c>
      <c r="D3" s="12">
        <f>SUM(GovByCongressionalDistrict8General[[#This Row],[Part of Kings County Vote Results]:[Part of Queens County Vote Results]])</f>
        <v>166207</v>
      </c>
      <c r="E3" s="13">
        <f>SUM(D3,D7,D8,D9)</f>
        <v>174876</v>
      </c>
    </row>
    <row r="4" spans="1:5" x14ac:dyDescent="0.2">
      <c r="A4" s="2" t="s">
        <v>14</v>
      </c>
      <c r="B4" s="16">
        <v>14535</v>
      </c>
      <c r="C4" s="16">
        <v>4207</v>
      </c>
      <c r="D4" s="12">
        <f>SUM(GovByCongressionalDistrict8General[[#This Row],[Part of Kings County Vote Results]:[Part of Queens County Vote Results]])</f>
        <v>18742</v>
      </c>
      <c r="E4" s="13">
        <f>SUM(D4,D5,D10)</f>
        <v>20412</v>
      </c>
    </row>
    <row r="5" spans="1:5" x14ac:dyDescent="0.2">
      <c r="A5" s="2" t="s">
        <v>15</v>
      </c>
      <c r="B5" s="16">
        <v>1086</v>
      </c>
      <c r="C5" s="16">
        <v>409</v>
      </c>
      <c r="D5" s="12">
        <f>SUM(GovByCongressionalDistrict8General[[#This Row],[Part of Kings County Vote Results]:[Part of Queens County Vote Results]])</f>
        <v>1495</v>
      </c>
      <c r="E5" s="14"/>
    </row>
    <row r="6" spans="1:5" x14ac:dyDescent="0.2">
      <c r="A6" s="2" t="s">
        <v>6</v>
      </c>
      <c r="B6" s="16">
        <v>4125</v>
      </c>
      <c r="C6" s="16">
        <v>93</v>
      </c>
      <c r="D6" s="12">
        <f>SUM(GovByCongressionalDistrict8General[[#This Row],[Part of Kings County Vote Results]:[Part of Queens County Vote Results]])</f>
        <v>4218</v>
      </c>
      <c r="E6" s="13">
        <f>GovByCongressionalDistrict8General[[#This Row],[Total Votes by Party]]</f>
        <v>4218</v>
      </c>
    </row>
    <row r="7" spans="1:5" x14ac:dyDescent="0.2">
      <c r="A7" s="2" t="s">
        <v>7</v>
      </c>
      <c r="B7" s="16">
        <v>6496</v>
      </c>
      <c r="C7" s="16">
        <v>145</v>
      </c>
      <c r="D7" s="12">
        <f>SUM(GovByCongressionalDistrict8General[[#This Row],[Part of Kings County Vote Results]:[Part of Queens County Vote Results]])</f>
        <v>6641</v>
      </c>
      <c r="E7" s="14"/>
    </row>
    <row r="8" spans="1:5" x14ac:dyDescent="0.2">
      <c r="A8" s="2" t="s">
        <v>8</v>
      </c>
      <c r="B8" s="16">
        <v>1433</v>
      </c>
      <c r="C8" s="16">
        <v>105</v>
      </c>
      <c r="D8" s="12">
        <f>SUM(GovByCongressionalDistrict8General[[#This Row],[Part of Kings County Vote Results]:[Part of Queens County Vote Results]])</f>
        <v>1538</v>
      </c>
      <c r="E8" s="14"/>
    </row>
    <row r="9" spans="1:5" x14ac:dyDescent="0.2">
      <c r="A9" s="2" t="s">
        <v>9</v>
      </c>
      <c r="B9" s="16">
        <v>471</v>
      </c>
      <c r="C9" s="16">
        <v>19</v>
      </c>
      <c r="D9" s="12">
        <f>SUM(GovByCongressionalDistrict8General[[#This Row],[Part of Kings County Vote Results]:[Part of Queens County Vote Results]])</f>
        <v>490</v>
      </c>
      <c r="E9" s="14"/>
    </row>
    <row r="10" spans="1:5" x14ac:dyDescent="0.2">
      <c r="A10" s="2" t="s">
        <v>16</v>
      </c>
      <c r="B10" s="16">
        <v>148</v>
      </c>
      <c r="C10" s="16">
        <v>27</v>
      </c>
      <c r="D10" s="12">
        <f>SUM(GovByCongressionalDistrict8General[[#This Row],[Part of Kings County Vote Results]:[Part of Queens County Vote Results]])</f>
        <v>175</v>
      </c>
      <c r="E10" s="14"/>
    </row>
    <row r="11" spans="1:5" x14ac:dyDescent="0.2">
      <c r="A11" s="2" t="s">
        <v>10</v>
      </c>
      <c r="B11" s="16">
        <v>805</v>
      </c>
      <c r="C11" s="16">
        <v>65</v>
      </c>
      <c r="D11" s="12">
        <f>SUM(GovByCongressionalDistrict8General[[#This Row],[Part of Kings County Vote Results]:[Part of Queens County Vote Results]])</f>
        <v>870</v>
      </c>
      <c r="E11" s="13">
        <f>GovByCongressionalDistrict8General[[#This Row],[Total Votes by Party]]</f>
        <v>870</v>
      </c>
    </row>
    <row r="12" spans="1:5" x14ac:dyDescent="0.2">
      <c r="A12" s="4" t="s">
        <v>11</v>
      </c>
      <c r="B12" s="16">
        <v>724</v>
      </c>
      <c r="C12" s="16">
        <v>15</v>
      </c>
      <c r="D12" s="12">
        <f>SUM(GovByCongressionalDistrict8General[[#This Row],[Part of Kings County Vote Results]:[Part of Queens County Vote Results]])</f>
        <v>739</v>
      </c>
      <c r="E12" s="13">
        <f>GovByCongressionalDistrict8General[[#This Row],[Total Votes by Party]]</f>
        <v>739</v>
      </c>
    </row>
    <row r="13" spans="1:5" x14ac:dyDescent="0.2">
      <c r="A13" s="4" t="s">
        <v>0</v>
      </c>
      <c r="B13" s="16">
        <v>2358</v>
      </c>
      <c r="C13" s="16">
        <v>201</v>
      </c>
      <c r="D13" s="12">
        <f>SUM(GovByCongressionalDistrict8General[[#This Row],[Part of Kings County Vote Results]:[Part of Queens County Vote Results]])</f>
        <v>2559</v>
      </c>
      <c r="E13" s="14"/>
    </row>
    <row r="14" spans="1:5" x14ac:dyDescent="0.2">
      <c r="A14" s="4" t="s">
        <v>1</v>
      </c>
      <c r="B14" s="16">
        <v>0</v>
      </c>
      <c r="C14" s="16">
        <v>0</v>
      </c>
      <c r="D14" s="12">
        <f>SUM(GovByCongressionalDistrict8General[[#This Row],[Part of Kings County Vote Results]:[Part of Queens County Vote Results]])</f>
        <v>0</v>
      </c>
      <c r="E14" s="14"/>
    </row>
    <row r="15" spans="1:5" x14ac:dyDescent="0.2">
      <c r="A15" s="4" t="s">
        <v>2</v>
      </c>
      <c r="B15" s="5">
        <v>487</v>
      </c>
      <c r="C15" s="5">
        <v>9</v>
      </c>
      <c r="D15" s="12">
        <f>SUM(GovByCongressionalDistrict8General[[#This Row],[Part of Kings County Vote Results]:[Part of Queens County Vote Results]])</f>
        <v>496</v>
      </c>
      <c r="E15" s="14"/>
    </row>
    <row r="16" spans="1:5" hidden="1" x14ac:dyDescent="0.2">
      <c r="A16" s="4" t="s">
        <v>4</v>
      </c>
      <c r="B16" s="6">
        <f>SUBTOTAL(109,GovByCongressionalDistrict8General[Part of Kings County Vote Results])</f>
        <v>192446</v>
      </c>
      <c r="C16" s="6">
        <f>SUBTOTAL(109,GovByCongressionalDistrict8General[Part of Queens County Vote Results])</f>
        <v>11724</v>
      </c>
      <c r="D16" s="6"/>
      <c r="E16" s="9"/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CF74D-87DB-4648-A596-C0EACF9B5971}">
  <dimension ref="A1:D16"/>
  <sheetViews>
    <sheetView workbookViewId="0">
      <selection activeCell="B18" sqref="B18"/>
    </sheetView>
  </sheetViews>
  <sheetFormatPr defaultRowHeight="12.75" x14ac:dyDescent="0.2"/>
  <cols>
    <col min="1" max="1" width="25.5703125" customWidth="1"/>
    <col min="2" max="4" width="20.5703125" customWidth="1"/>
    <col min="5" max="6" width="23.5703125" customWidth="1"/>
  </cols>
  <sheetData>
    <row r="1" spans="1:4" ht="24.95" customHeight="1" x14ac:dyDescent="0.2">
      <c r="A1" s="1" t="s">
        <v>60</v>
      </c>
    </row>
    <row r="2" spans="1:4" ht="24.95" customHeight="1" x14ac:dyDescent="0.2">
      <c r="A2" s="7" t="s">
        <v>12</v>
      </c>
      <c r="B2" s="8" t="s">
        <v>19</v>
      </c>
      <c r="C2" s="10" t="s">
        <v>105</v>
      </c>
      <c r="D2" s="11" t="s">
        <v>5</v>
      </c>
    </row>
    <row r="3" spans="1:4" x14ac:dyDescent="0.2">
      <c r="A3" s="2" t="s">
        <v>3</v>
      </c>
      <c r="B3" s="16">
        <v>161387</v>
      </c>
      <c r="C3" s="12">
        <f>GovByCongressionalDistrict9General[[#This Row],[Part of Kings County Vote Results]]</f>
        <v>161387</v>
      </c>
      <c r="D3" s="13">
        <f>SUM(C3,C7,C8,C9)</f>
        <v>174015</v>
      </c>
    </row>
    <row r="4" spans="1:4" x14ac:dyDescent="0.2">
      <c r="A4" s="2" t="s">
        <v>14</v>
      </c>
      <c r="B4" s="16">
        <v>19400</v>
      </c>
      <c r="C4" s="12">
        <f>GovByCongressionalDistrict9General[[#This Row],[Part of Kings County Vote Results]]</f>
        <v>19400</v>
      </c>
      <c r="D4" s="13">
        <f>SUM(C4,C5,C10)</f>
        <v>21798</v>
      </c>
    </row>
    <row r="5" spans="1:4" x14ac:dyDescent="0.2">
      <c r="A5" s="2" t="s">
        <v>15</v>
      </c>
      <c r="B5" s="16">
        <v>2174</v>
      </c>
      <c r="C5" s="12">
        <f>GovByCongressionalDistrict9General[[#This Row],[Part of Kings County Vote Results]]</f>
        <v>2174</v>
      </c>
      <c r="D5" s="14"/>
    </row>
    <row r="6" spans="1:4" x14ac:dyDescent="0.2">
      <c r="A6" s="2" t="s">
        <v>6</v>
      </c>
      <c r="B6" s="16">
        <v>5223</v>
      </c>
      <c r="C6" s="12">
        <f>GovByCongressionalDistrict9General[[#This Row],[Part of Kings County Vote Results]]</f>
        <v>5223</v>
      </c>
      <c r="D6" s="13">
        <f>GovByCongressionalDistrict9General[[#This Row],[Total Votes by Party]]</f>
        <v>5223</v>
      </c>
    </row>
    <row r="7" spans="1:4" x14ac:dyDescent="0.2">
      <c r="A7" s="2" t="s">
        <v>7</v>
      </c>
      <c r="B7" s="16">
        <v>10556</v>
      </c>
      <c r="C7" s="12">
        <f>GovByCongressionalDistrict9General[[#This Row],[Part of Kings County Vote Results]]</f>
        <v>10556</v>
      </c>
      <c r="D7" s="14"/>
    </row>
    <row r="8" spans="1:4" x14ac:dyDescent="0.2">
      <c r="A8" s="2" t="s">
        <v>8</v>
      </c>
      <c r="B8" s="16">
        <v>1524</v>
      </c>
      <c r="C8" s="12">
        <f>GovByCongressionalDistrict9General[[#This Row],[Part of Kings County Vote Results]]</f>
        <v>1524</v>
      </c>
      <c r="D8" s="14"/>
    </row>
    <row r="9" spans="1:4" x14ac:dyDescent="0.2">
      <c r="A9" s="2" t="s">
        <v>9</v>
      </c>
      <c r="B9" s="16">
        <v>548</v>
      </c>
      <c r="C9" s="12">
        <f>GovByCongressionalDistrict9General[[#This Row],[Part of Kings County Vote Results]]</f>
        <v>548</v>
      </c>
      <c r="D9" s="14"/>
    </row>
    <row r="10" spans="1:4" x14ac:dyDescent="0.2">
      <c r="A10" s="2" t="s">
        <v>16</v>
      </c>
      <c r="B10" s="16">
        <v>224</v>
      </c>
      <c r="C10" s="12">
        <f>GovByCongressionalDistrict9General[[#This Row],[Part of Kings County Vote Results]]</f>
        <v>224</v>
      </c>
      <c r="D10" s="14"/>
    </row>
    <row r="11" spans="1:4" x14ac:dyDescent="0.2">
      <c r="A11" s="2" t="s">
        <v>10</v>
      </c>
      <c r="B11" s="16">
        <v>978</v>
      </c>
      <c r="C11" s="12">
        <f>GovByCongressionalDistrict9General[[#This Row],[Part of Kings County Vote Results]]</f>
        <v>978</v>
      </c>
      <c r="D11" s="13">
        <f>GovByCongressionalDistrict9General[[#This Row],[Total Votes by Party]]</f>
        <v>978</v>
      </c>
    </row>
    <row r="12" spans="1:4" x14ac:dyDescent="0.2">
      <c r="A12" s="4" t="s">
        <v>11</v>
      </c>
      <c r="B12" s="16">
        <v>1171</v>
      </c>
      <c r="C12" s="12">
        <f>GovByCongressionalDistrict9General[[#This Row],[Part of Kings County Vote Results]]</f>
        <v>1171</v>
      </c>
      <c r="D12" s="13">
        <f>GovByCongressionalDistrict9General[[#This Row],[Total Votes by Party]]</f>
        <v>1171</v>
      </c>
    </row>
    <row r="13" spans="1:4" x14ac:dyDescent="0.2">
      <c r="A13" s="4" t="s">
        <v>0</v>
      </c>
      <c r="B13" s="16">
        <v>2869</v>
      </c>
      <c r="C13" s="12">
        <f>GovByCongressionalDistrict9General[[#This Row],[Part of Kings County Vote Results]]</f>
        <v>2869</v>
      </c>
      <c r="D13" s="14"/>
    </row>
    <row r="14" spans="1:4" x14ac:dyDescent="0.2">
      <c r="A14" s="4" t="s">
        <v>1</v>
      </c>
      <c r="B14" s="16">
        <v>0</v>
      </c>
      <c r="C14" s="12">
        <f>GovByCongressionalDistrict9General[[#This Row],[Part of Kings County Vote Results]]</f>
        <v>0</v>
      </c>
      <c r="D14" s="14"/>
    </row>
    <row r="15" spans="1:4" x14ac:dyDescent="0.2">
      <c r="A15" s="4" t="s">
        <v>2</v>
      </c>
      <c r="B15" s="5">
        <v>649</v>
      </c>
      <c r="C15" s="12">
        <f>GovByCongressionalDistrict9General[[#This Row],[Part of Kings County Vote Results]]</f>
        <v>649</v>
      </c>
      <c r="D15" s="14"/>
    </row>
    <row r="16" spans="1:4" hidden="1" x14ac:dyDescent="0.2">
      <c r="A16" s="4" t="s">
        <v>4</v>
      </c>
      <c r="B16" s="6">
        <f>SUBTOTAL(109,GovByCongressionalDistrict9General[Total Votes by Candidate])</f>
        <v>203185</v>
      </c>
      <c r="C16" s="6"/>
      <c r="D16" s="9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Gov by 1st CD</vt:lpstr>
      <vt:lpstr>Gov by 2nd CD</vt:lpstr>
      <vt:lpstr>Gov by 3rd CD</vt:lpstr>
      <vt:lpstr>Gov by 4th CD</vt:lpstr>
      <vt:lpstr>Gov by 5th CD</vt:lpstr>
      <vt:lpstr>Gov by 6th CD</vt:lpstr>
      <vt:lpstr>Gov by 7th CD</vt:lpstr>
      <vt:lpstr>Gov by 8th CD</vt:lpstr>
      <vt:lpstr>Gov by 9th CD</vt:lpstr>
      <vt:lpstr>Gov by 10th CD</vt:lpstr>
      <vt:lpstr>Gov by 11th CD</vt:lpstr>
      <vt:lpstr>Gov by 12th CD</vt:lpstr>
      <vt:lpstr>Gov by 13th CD</vt:lpstr>
      <vt:lpstr>Gov by 14th CD</vt:lpstr>
      <vt:lpstr>Gov by 15th CD</vt:lpstr>
      <vt:lpstr>Gov by 16th CD</vt:lpstr>
      <vt:lpstr>Gov by 17th CD</vt:lpstr>
      <vt:lpstr>Gov by 18th CD</vt:lpstr>
      <vt:lpstr>Gov by 19th CD</vt:lpstr>
      <vt:lpstr>Gov by 20th CD</vt:lpstr>
      <vt:lpstr>Gov by 21st CD</vt:lpstr>
      <vt:lpstr>Gov by 22nd CD</vt:lpstr>
      <vt:lpstr>Gov by 23rd CD</vt:lpstr>
      <vt:lpstr>Gov by 24th CD</vt:lpstr>
      <vt:lpstr>Gov by 25th CD</vt:lpstr>
      <vt:lpstr>Gov by 26th CD</vt:lpstr>
      <vt:lpstr>Gov by 27th CD</vt:lpstr>
    </vt:vector>
  </TitlesOfParts>
  <Company>NYSBOE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pjorczak</dc:creator>
  <cp:lastModifiedBy>Thomas Connolly</cp:lastModifiedBy>
  <cp:lastPrinted>2018-12-13T16:58:27Z</cp:lastPrinted>
  <dcterms:created xsi:type="dcterms:W3CDTF">2008-10-28T18:22:21Z</dcterms:created>
  <dcterms:modified xsi:type="dcterms:W3CDTF">2019-01-14T21:07:52Z</dcterms:modified>
</cp:coreProperties>
</file>